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1"/>
  </bookViews>
  <sheets>
    <sheet name="лютий" sheetId="1" r:id="rId1"/>
    <sheet name="січень 17" sheetId="2" r:id="rId2"/>
  </sheets>
  <definedNames/>
  <calcPr fullCalcOnLoad="1"/>
</workbook>
</file>

<file path=xl/sharedStrings.xml><?xml version="1.0" encoding="utf-8"?>
<sst xmlns="http://schemas.openxmlformats.org/spreadsheetml/2006/main" count="277" uniqueCount="140">
  <si>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</si>
  <si>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</si>
  <si>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</si>
  <si>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</si>
  <si>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</si>
  <si>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</si>
  <si>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</si>
  <si>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</si>
  <si>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</si>
  <si>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</si>
  <si>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</si>
  <si>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</si>
  <si>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</si>
  <si>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</si>
  <si>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</si>
  <si>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</si>
  <si>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</si>
  <si>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</si>
  <si>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</si>
  <si>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</si>
  <si>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</si>
  <si>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</si>
  <si>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</si>
  <si>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</si>
  <si>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</si>
  <si>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</si>
  <si>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</si>
  <si>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</si>
  <si>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</si>
  <si>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</si>
  <si>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</si>
  <si>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</si>
  <si>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</si>
  <si>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</si>
  <si>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</si>
  <si>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</si>
  <si>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</si>
  <si>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</si>
  <si>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</si>
  <si>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</si>
  <si>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</si>
  <si>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</si>
  <si>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</si>
  <si>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</si>
  <si>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</si>
  <si>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</si>
  <si>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</si>
  <si>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</si>
  <si>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</si>
  <si>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</si>
  <si>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</si>
  <si>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</si>
  <si>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</si>
  <si>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</si>
  <si>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</si>
  <si>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</si>
  <si>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</si>
  <si>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</si>
  <si>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</si>
  <si>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</si>
  <si>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</si>
  <si>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</si>
  <si>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</si>
  <si>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</si>
  <si>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</si>
  <si>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</si>
  <si>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</si>
  <si>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</si>
  <si>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</si>
  <si>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</si>
  <si>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</si>
  <si>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</si>
  <si>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</si>
  <si>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</si>
  <si>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</si>
  <si>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</si>
  <si>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</si>
  <si>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</si>
  <si>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</si>
  <si>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</si>
  <si>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</si>
  <si>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</si>
  <si>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</si>
  <si>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</si>
  <si>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</si>
  <si>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</si>
  <si>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</si>
  <si>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</si>
  <si>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</si>
  <si>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</si>
  <si>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</si>
  <si>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</si>
  <si>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</si>
  <si>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</si>
  <si>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</si>
  <si>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</si>
  <si>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</si>
  <si>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</si>
  <si>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</si>
  <si>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</si>
  <si>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</si>
  <si>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</si>
  <si>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</si>
  <si>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</si>
  <si>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</si>
  <si>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</si>
  <si>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</si>
  <si>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</si>
  <si>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</si>
  <si>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</si>
  <si>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</si>
  <si>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</si>
  <si>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</si>
  <si>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</si>
  <si>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</si>
  <si>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</si>
  <si>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</si>
  <si>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</si>
  <si>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</si>
  <si>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</si>
  <si>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</si>
  <si>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</si>
  <si>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</si>
  <si>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</si>
  <si>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</si>
  <si>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</si>
  <si>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</si>
  <si>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</si>
  <si>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</si>
  <si>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</si>
  <si>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t>Надходження коштів від с\г втрат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</si>
  <si>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</si>
  <si>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</si>
  <si>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02.02.17 </t>
    </r>
    <r>
      <rPr>
        <b/>
        <sz val="10"/>
        <rFont val="Times New Roman"/>
        <family val="1"/>
      </rPr>
      <t>включно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</si>
  <si>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</si>
  <si>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</si>
  <si>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</si>
  <si>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</si>
  <si>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</si>
  <si>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03.02.2017</t>
    </r>
    <r>
      <rPr>
        <b/>
        <sz val="16"/>
        <rFont val="Times New Roman"/>
        <family val="1"/>
      </rPr>
      <t>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</si>
</sst>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26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25" fillId="0" borderId="0">
      <alignment/>
      <protection/>
    </xf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8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4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4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7" fillId="0" borderId="0" xfId="54" applyNumberFormat="1" applyFont="1" applyFill="1" applyProtection="1">
      <alignment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8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4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4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3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74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6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6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4" fillId="37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4" applyNumberFormat="1" applyFont="1" applyFill="1" applyProtection="1">
      <alignment/>
      <protection/>
    </xf>
    <xf numFmtId="182" fontId="7" fillId="38" borderId="0" xfId="54" applyNumberFormat="1" applyFont="1" applyFill="1" applyBorder="1" applyProtection="1">
      <alignment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74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5" fillId="0" borderId="0" xfId="0" applyFont="1" applyAlignment="1" applyProtection="1">
      <alignment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91" fontId="73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4" applyNumberFormat="1" applyFont="1" applyFill="1" applyProtection="1">
      <alignment/>
      <protection/>
    </xf>
    <xf numFmtId="191" fontId="7" fillId="0" borderId="0" xfId="54" applyNumberFormat="1" applyFont="1" applyProtection="1">
      <alignment/>
      <protection/>
    </xf>
    <xf numFmtId="0" fontId="7" fillId="38" borderId="10" xfId="54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4" applyFont="1" applyFill="1" applyBorder="1" applyAlignment="1" applyProtection="1">
      <alignment vertical="center" wrapText="1"/>
      <protection/>
    </xf>
    <xf numFmtId="0" fontId="7" fillId="38" borderId="10" xfId="54" applyFont="1" applyFill="1" applyBorder="1" applyAlignment="1" applyProtection="1">
      <alignment horizontal="left" wrapText="1"/>
      <protection/>
    </xf>
    <xf numFmtId="0" fontId="7" fillId="38" borderId="10" xfId="54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0" xfId="54" applyFont="1" applyAlignment="1" applyProtection="1">
      <alignment horizontal="center"/>
      <protection/>
    </xf>
    <xf numFmtId="0" fontId="19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28" fillId="0" borderId="0" xfId="54" applyFont="1" applyAlignment="1" applyProtection="1">
      <alignment horizontal="center"/>
      <protection/>
    </xf>
    <xf numFmtId="0" fontId="28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4" fillId="0" borderId="17" xfId="54" applyFont="1" applyFill="1" applyBorder="1" applyAlignment="1" applyProtection="1">
      <alignment horizontal="center" vertical="center" wrapText="1"/>
      <protection/>
    </xf>
    <xf numFmtId="0" fontId="24" fillId="0" borderId="18" xfId="54" applyFont="1" applyFill="1" applyBorder="1" applyAlignment="1" applyProtection="1">
      <alignment horizontal="center" vertical="center" wrapText="1"/>
      <protection/>
    </xf>
    <xf numFmtId="0" fontId="24" fillId="0" borderId="19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24" fillId="13" borderId="20" xfId="54" applyFont="1" applyFill="1" applyBorder="1" applyAlignment="1" applyProtection="1">
      <alignment horizontal="center" vertical="center" wrapText="1"/>
      <protection/>
    </xf>
    <xf numFmtId="0" fontId="24" fillId="13" borderId="16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73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20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58" t="s">
        <v>139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85"/>
      <c r="S1" s="86"/>
    </row>
    <row r="2" spans="2:19" s="1" customFormat="1" ht="15.75" customHeight="1">
      <c r="B2" s="259"/>
      <c r="C2" s="259"/>
      <c r="D2" s="259"/>
      <c r="E2" s="2"/>
      <c r="F2" s="111"/>
      <c r="G2" s="2"/>
      <c r="H2" s="2"/>
      <c r="M2" s="1" t="s">
        <v>24</v>
      </c>
      <c r="Q2" s="17" t="s">
        <v>24</v>
      </c>
      <c r="R2" s="17"/>
      <c r="S2" s="87"/>
    </row>
    <row r="3" spans="1:19" s="3" customFormat="1" ht="13.5" customHeight="1">
      <c r="A3" s="260"/>
      <c r="B3" s="262"/>
      <c r="C3" s="263" t="s">
        <v>0</v>
      </c>
      <c r="D3" s="264" t="s">
        <v>121</v>
      </c>
      <c r="E3" s="31"/>
      <c r="F3" s="265" t="s">
        <v>26</v>
      </c>
      <c r="G3" s="266"/>
      <c r="H3" s="266"/>
      <c r="I3" s="266"/>
      <c r="J3" s="267"/>
      <c r="K3" s="82"/>
      <c r="L3" s="82"/>
      <c r="M3" s="82"/>
      <c r="N3" s="268" t="s">
        <v>132</v>
      </c>
      <c r="O3" s="269" t="s">
        <v>137</v>
      </c>
      <c r="P3" s="269"/>
      <c r="Q3" s="269"/>
      <c r="R3" s="269"/>
      <c r="S3" s="269"/>
    </row>
    <row r="4" spans="1:19" ht="22.5" customHeight="1">
      <c r="A4" s="260"/>
      <c r="B4" s="262"/>
      <c r="C4" s="263"/>
      <c r="D4" s="264"/>
      <c r="E4" s="270" t="s">
        <v>138</v>
      </c>
      <c r="F4" s="252" t="s">
        <v>33</v>
      </c>
      <c r="G4" s="245" t="s">
        <v>134</v>
      </c>
      <c r="H4" s="254" t="s">
        <v>135</v>
      </c>
      <c r="I4" s="245" t="s">
        <v>125</v>
      </c>
      <c r="J4" s="254" t="s">
        <v>126</v>
      </c>
      <c r="K4" s="84" t="s">
        <v>128</v>
      </c>
      <c r="L4" s="202" t="s">
        <v>111</v>
      </c>
      <c r="M4" s="89" t="s">
        <v>63</v>
      </c>
      <c r="N4" s="254"/>
      <c r="O4" s="256" t="s">
        <v>133</v>
      </c>
      <c r="P4" s="245" t="s">
        <v>49</v>
      </c>
      <c r="Q4" s="247" t="s">
        <v>48</v>
      </c>
      <c r="R4" s="90" t="s">
        <v>64</v>
      </c>
      <c r="S4" s="91" t="s">
        <v>63</v>
      </c>
    </row>
    <row r="5" spans="1:19" ht="67.5" customHeight="1">
      <c r="A5" s="261"/>
      <c r="B5" s="262"/>
      <c r="C5" s="263"/>
      <c r="D5" s="264"/>
      <c r="E5" s="271"/>
      <c r="F5" s="253"/>
      <c r="G5" s="246"/>
      <c r="H5" s="255"/>
      <c r="I5" s="246"/>
      <c r="J5" s="255"/>
      <c r="K5" s="248" t="s">
        <v>136</v>
      </c>
      <c r="L5" s="249"/>
      <c r="M5" s="250"/>
      <c r="N5" s="255"/>
      <c r="O5" s="257"/>
      <c r="P5" s="246"/>
      <c r="Q5" s="247"/>
      <c r="R5" s="248" t="s">
        <v>102</v>
      </c>
      <c r="S5" s="250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196245.5</v>
      </c>
      <c r="F8" s="149">
        <f>F9+F15+F18+F19+F20+F37+F17</f>
        <v>97780.85</v>
      </c>
      <c r="G8" s="149">
        <f aca="true" t="shared" si="0" ref="G8:G37">F8-E8</f>
        <v>-98464.65</v>
      </c>
      <c r="H8" s="150">
        <f>F8/E8*100</f>
        <v>49.82577944462421</v>
      </c>
      <c r="I8" s="151">
        <f>F8-D8</f>
        <v>-1200670.25</v>
      </c>
      <c r="J8" s="151">
        <f>F8/D8*100</f>
        <v>7.530576238103999</v>
      </c>
      <c r="K8" s="149">
        <v>140423.02</v>
      </c>
      <c r="L8" s="149">
        <f aca="true" t="shared" si="1" ref="L8:L51">F8-K8</f>
        <v>-42642.169999999984</v>
      </c>
      <c r="M8" s="203">
        <f aca="true" t="shared" si="2" ref="M8:M28">F8/K8</f>
        <v>0.6963306301203323</v>
      </c>
      <c r="N8" s="149">
        <f>N9+N15+N18+N19+N20+N17</f>
        <v>101878</v>
      </c>
      <c r="O8" s="149">
        <f>O9+O15+O18+O19+O20+O17</f>
        <v>3923.8799999999956</v>
      </c>
      <c r="P8" s="149">
        <f>O8-N8</f>
        <v>-97954.12000000001</v>
      </c>
      <c r="Q8" s="149">
        <f>O8/N8*100</f>
        <v>3.851547929876907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102200</v>
      </c>
      <c r="F9" s="154">
        <v>48281.14</v>
      </c>
      <c r="G9" s="148">
        <f t="shared" si="0"/>
        <v>-53918.86</v>
      </c>
      <c r="H9" s="155">
        <f>F9/E9*100</f>
        <v>47.24181996086106</v>
      </c>
      <c r="I9" s="156">
        <f>F9-D9</f>
        <v>-718363.86</v>
      </c>
      <c r="J9" s="156">
        <f>F9/D9*100</f>
        <v>6.297717978986363</v>
      </c>
      <c r="K9" s="225">
        <v>70324.6</v>
      </c>
      <c r="L9" s="157">
        <f t="shared" si="1"/>
        <v>-22043.460000000006</v>
      </c>
      <c r="M9" s="204">
        <f t="shared" si="2"/>
        <v>0.6865469551195456</v>
      </c>
      <c r="N9" s="155">
        <f>E9-'січень 17'!E9</f>
        <v>54500</v>
      </c>
      <c r="O9" s="158">
        <f>F9-'січень 17'!F9</f>
        <v>1356.2099999999991</v>
      </c>
      <c r="P9" s="159">
        <f>O9-N9</f>
        <v>-53143.79</v>
      </c>
      <c r="Q9" s="156">
        <f>O9/N9*100</f>
        <v>2.488458715596329</v>
      </c>
      <c r="R9" s="99"/>
      <c r="S9" s="100"/>
      <c r="T9" s="145">
        <f>D9-E9</f>
        <v>664445</v>
      </c>
    </row>
    <row r="10" spans="1:20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v>92348</v>
      </c>
      <c r="F10" s="138">
        <v>44392.3</v>
      </c>
      <c r="G10" s="102">
        <f t="shared" si="0"/>
        <v>-47955.7</v>
      </c>
      <c r="H10" s="29">
        <f aca="true" t="shared" si="3" ref="H10:H36">F10/E10*100</f>
        <v>48.0706674752025</v>
      </c>
      <c r="I10" s="103">
        <f aca="true" t="shared" si="4" ref="I10:I37">F10-D10</f>
        <v>-656924.7</v>
      </c>
      <c r="J10" s="103">
        <f aca="true" t="shared" si="5" ref="J10:J36">F10/D10*100</f>
        <v>6.329847986003477</v>
      </c>
      <c r="K10" s="105">
        <v>62213.95</v>
      </c>
      <c r="L10" s="105">
        <f t="shared" si="1"/>
        <v>-17821.649999999994</v>
      </c>
      <c r="M10" s="205">
        <f t="shared" si="2"/>
        <v>0.7135425415039554</v>
      </c>
      <c r="N10" s="104">
        <f>E10-'січень 17'!E10</f>
        <v>49064</v>
      </c>
      <c r="O10" s="142">
        <f>F10-'січень 17'!F10</f>
        <v>1249.3700000000026</v>
      </c>
      <c r="P10" s="105">
        <f aca="true" t="shared" si="6" ref="P10:P37">O10-N10</f>
        <v>-47814.63</v>
      </c>
      <c r="Q10" s="103">
        <f aca="true" t="shared" si="7" ref="Q10:Q18">O10/N10*100</f>
        <v>2.546408772215887</v>
      </c>
      <c r="R10" s="36"/>
      <c r="S10" s="93"/>
      <c r="T10" s="145">
        <f aca="true" t="shared" si="8" ref="T10:T73">D10-E10</f>
        <v>608969</v>
      </c>
    </row>
    <row r="11" spans="1:20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7200</v>
      </c>
      <c r="F11" s="138">
        <v>2681.7</v>
      </c>
      <c r="G11" s="102">
        <f t="shared" si="0"/>
        <v>-4518.3</v>
      </c>
      <c r="H11" s="29">
        <f t="shared" si="3"/>
        <v>37.24583333333334</v>
      </c>
      <c r="I11" s="103">
        <f t="shared" si="4"/>
        <v>-43824.3</v>
      </c>
      <c r="J11" s="103">
        <f t="shared" si="5"/>
        <v>5.76635272868017</v>
      </c>
      <c r="K11" s="105">
        <v>5319.16</v>
      </c>
      <c r="L11" s="105">
        <f t="shared" si="1"/>
        <v>-2637.46</v>
      </c>
      <c r="M11" s="205">
        <f t="shared" si="2"/>
        <v>0.5041585513502131</v>
      </c>
      <c r="N11" s="104">
        <f>E11-'січень 17'!E11</f>
        <v>3600</v>
      </c>
      <c r="O11" s="142">
        <f>F11-'січень 17'!F11</f>
        <v>0</v>
      </c>
      <c r="P11" s="105">
        <f t="shared" si="6"/>
        <v>-3600</v>
      </c>
      <c r="Q11" s="103">
        <f t="shared" si="7"/>
        <v>0</v>
      </c>
      <c r="R11" s="36"/>
      <c r="S11" s="93"/>
      <c r="T11" s="145">
        <f t="shared" si="8"/>
        <v>39306</v>
      </c>
    </row>
    <row r="12" spans="1:20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840</v>
      </c>
      <c r="F12" s="138">
        <v>553.82</v>
      </c>
      <c r="G12" s="102">
        <f t="shared" si="0"/>
        <v>-286.17999999999995</v>
      </c>
      <c r="H12" s="29">
        <f t="shared" si="3"/>
        <v>65.93095238095239</v>
      </c>
      <c r="I12" s="103">
        <f t="shared" si="4"/>
        <v>-7726.18</v>
      </c>
      <c r="J12" s="103">
        <f t="shared" si="5"/>
        <v>6.6886473429951705</v>
      </c>
      <c r="K12" s="105">
        <v>822.03</v>
      </c>
      <c r="L12" s="105">
        <f t="shared" si="1"/>
        <v>-268.2099999999999</v>
      </c>
      <c r="M12" s="205">
        <f t="shared" si="2"/>
        <v>0.6737223702297971</v>
      </c>
      <c r="N12" s="104">
        <f>E12-'січень 17'!E12</f>
        <v>420</v>
      </c>
      <c r="O12" s="142">
        <f>F12-'січень 17'!F12</f>
        <v>53.39000000000004</v>
      </c>
      <c r="P12" s="105">
        <f t="shared" si="6"/>
        <v>-366.60999999999996</v>
      </c>
      <c r="Q12" s="103">
        <f t="shared" si="7"/>
        <v>12.711904761904771</v>
      </c>
      <c r="R12" s="36"/>
      <c r="S12" s="93"/>
      <c r="T12" s="145">
        <f t="shared" si="8"/>
        <v>7440</v>
      </c>
    </row>
    <row r="13" spans="1:20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1620</v>
      </c>
      <c r="F13" s="138">
        <v>552.82</v>
      </c>
      <c r="G13" s="102">
        <f t="shared" si="0"/>
        <v>-1067.1799999999998</v>
      </c>
      <c r="H13" s="29">
        <f t="shared" si="3"/>
        <v>34.12469135802469</v>
      </c>
      <c r="I13" s="103">
        <f t="shared" si="4"/>
        <v>-8837.18</v>
      </c>
      <c r="J13" s="103">
        <f t="shared" si="5"/>
        <v>5.887326943556976</v>
      </c>
      <c r="K13" s="105">
        <v>1514.49</v>
      </c>
      <c r="L13" s="105">
        <f t="shared" si="1"/>
        <v>-961.67</v>
      </c>
      <c r="M13" s="205">
        <f t="shared" si="2"/>
        <v>0.3650205679799801</v>
      </c>
      <c r="N13" s="104">
        <f>E13-'січень 17'!E13</f>
        <v>1320</v>
      </c>
      <c r="O13" s="142">
        <f>F13-'січень 17'!F13</f>
        <v>53.460000000000036</v>
      </c>
      <c r="P13" s="105">
        <f t="shared" si="6"/>
        <v>-1266.54</v>
      </c>
      <c r="Q13" s="103">
        <f t="shared" si="7"/>
        <v>4.0500000000000025</v>
      </c>
      <c r="R13" s="36"/>
      <c r="S13" s="93"/>
      <c r="T13" s="145">
        <f t="shared" si="8"/>
        <v>7770</v>
      </c>
    </row>
    <row r="14" spans="1:22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192</v>
      </c>
      <c r="F14" s="138">
        <v>100.5</v>
      </c>
      <c r="G14" s="102">
        <f t="shared" si="0"/>
        <v>-91.5</v>
      </c>
      <c r="H14" s="29">
        <f t="shared" si="3"/>
        <v>52.34375</v>
      </c>
      <c r="I14" s="103">
        <f t="shared" si="4"/>
        <v>-1051.5</v>
      </c>
      <c r="J14" s="103">
        <f t="shared" si="5"/>
        <v>8.723958333333332</v>
      </c>
      <c r="K14" s="105">
        <v>454.97</v>
      </c>
      <c r="L14" s="105">
        <f t="shared" si="1"/>
        <v>-354.47</v>
      </c>
      <c r="M14" s="205">
        <f t="shared" si="2"/>
        <v>0.2208936852979317</v>
      </c>
      <c r="N14" s="104">
        <f>E14-'січень 17'!E14</f>
        <v>96</v>
      </c>
      <c r="O14" s="142">
        <f>F14-'січень 17'!F14</f>
        <v>0</v>
      </c>
      <c r="P14" s="105">
        <f t="shared" si="6"/>
        <v>-96</v>
      </c>
      <c r="Q14" s="103">
        <f t="shared" si="7"/>
        <v>0</v>
      </c>
      <c r="R14" s="36"/>
      <c r="S14" s="93"/>
      <c r="T14" s="145">
        <f t="shared" si="8"/>
        <v>960</v>
      </c>
      <c r="U14" s="222"/>
      <c r="V14" s="145"/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51</v>
      </c>
      <c r="F15" s="154">
        <v>0</v>
      </c>
      <c r="G15" s="148">
        <f t="shared" si="0"/>
        <v>-51</v>
      </c>
      <c r="H15" s="155">
        <f>F15/E15/100</f>
        <v>0</v>
      </c>
      <c r="I15" s="156">
        <f t="shared" si="4"/>
        <v>-551</v>
      </c>
      <c r="J15" s="156">
        <f t="shared" si="5"/>
        <v>0</v>
      </c>
      <c r="K15" s="159">
        <v>85.14</v>
      </c>
      <c r="L15" s="159">
        <f t="shared" si="1"/>
        <v>-85.14</v>
      </c>
      <c r="M15" s="206">
        <f t="shared" si="2"/>
        <v>0</v>
      </c>
      <c r="N15" s="135">
        <f>E15-'січень 17'!E15</f>
        <v>51</v>
      </c>
      <c r="O15" s="143">
        <f>F15-'січень 17'!F15</f>
        <v>0</v>
      </c>
      <c r="P15" s="159">
        <f t="shared" si="6"/>
        <v>-51</v>
      </c>
      <c r="Q15" s="156">
        <f t="shared" si="7"/>
        <v>0</v>
      </c>
      <c r="R15" s="36"/>
      <c r="S15" s="93"/>
      <c r="T15" s="145">
        <f t="shared" si="8"/>
        <v>500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55">
        <f>E16-'січень 17'!E16</f>
        <v>0</v>
      </c>
      <c r="O16" s="158">
        <f>F16-'січень 17'!F16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55">
        <f>E17-'січень 17'!E17</f>
        <v>0</v>
      </c>
      <c r="O17" s="158">
        <f>F17-'січень 17'!F17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0</v>
      </c>
      <c r="G18" s="148">
        <f t="shared" si="0"/>
        <v>-70</v>
      </c>
      <c r="H18" s="155">
        <f>F18/E18/100</f>
        <v>0</v>
      </c>
      <c r="I18" s="156">
        <f t="shared" si="4"/>
        <v>-125</v>
      </c>
      <c r="J18" s="156">
        <f t="shared" si="5"/>
        <v>0</v>
      </c>
      <c r="K18" s="159">
        <v>105.8</v>
      </c>
      <c r="L18" s="159">
        <f t="shared" si="1"/>
        <v>-105.8</v>
      </c>
      <c r="M18" s="206">
        <f t="shared" si="2"/>
        <v>0</v>
      </c>
      <c r="N18" s="155">
        <f>E18-'січень 17'!E18</f>
        <v>70</v>
      </c>
      <c r="O18" s="158">
        <f>F18-'січень 17'!F18</f>
        <v>0</v>
      </c>
      <c r="P18" s="159">
        <f t="shared" si="6"/>
        <v>-70</v>
      </c>
      <c r="Q18" s="156">
        <f t="shared" si="7"/>
        <v>0</v>
      </c>
      <c r="R18" s="36"/>
      <c r="S18" s="93"/>
      <c r="T18" s="145">
        <f t="shared" si="8"/>
        <v>55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18000</v>
      </c>
      <c r="F19" s="154">
        <v>9757.65</v>
      </c>
      <c r="G19" s="148">
        <f t="shared" si="0"/>
        <v>-8242.35</v>
      </c>
      <c r="H19" s="155">
        <f t="shared" si="3"/>
        <v>54.20916666666666</v>
      </c>
      <c r="I19" s="156">
        <f t="shared" si="4"/>
        <v>-120242.35</v>
      </c>
      <c r="J19" s="156">
        <f t="shared" si="5"/>
        <v>7.505884615384615</v>
      </c>
      <c r="K19" s="167">
        <v>10861</v>
      </c>
      <c r="L19" s="159">
        <f t="shared" si="1"/>
        <v>-1103.3500000000004</v>
      </c>
      <c r="M19" s="211">
        <f t="shared" si="2"/>
        <v>0.8984117484577847</v>
      </c>
      <c r="N19" s="155">
        <f>E19-'січень 17'!E19</f>
        <v>8300</v>
      </c>
      <c r="O19" s="158">
        <f>F19-'січень 17'!F19</f>
        <v>5.899999999999636</v>
      </c>
      <c r="P19" s="159">
        <f t="shared" si="6"/>
        <v>-8294.1</v>
      </c>
      <c r="Q19" s="156">
        <f aca="true" t="shared" si="9" ref="Q19:Q24">O19/N19*100</f>
        <v>0.0710843373493932</v>
      </c>
      <c r="R19" s="106"/>
      <c r="S19" s="107"/>
      <c r="T19" s="145">
        <f t="shared" si="8"/>
        <v>112000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75924.5</v>
      </c>
      <c r="F20" s="221">
        <f>F21+F29+F30+F31+F32</f>
        <v>39742.06</v>
      </c>
      <c r="G20" s="148">
        <f t="shared" si="0"/>
        <v>-36182.44</v>
      </c>
      <c r="H20" s="155">
        <f t="shared" si="3"/>
        <v>52.34418402491949</v>
      </c>
      <c r="I20" s="156">
        <f t="shared" si="4"/>
        <v>-361388.04</v>
      </c>
      <c r="J20" s="156">
        <f t="shared" si="5"/>
        <v>9.907523768473121</v>
      </c>
      <c r="K20" s="156">
        <v>59046.44</v>
      </c>
      <c r="L20" s="159">
        <f t="shared" si="1"/>
        <v>-19304.380000000005</v>
      </c>
      <c r="M20" s="207">
        <f t="shared" si="2"/>
        <v>0.6730644557063897</v>
      </c>
      <c r="N20" s="155">
        <f>E20-'січень 17'!E20</f>
        <v>38957</v>
      </c>
      <c r="O20" s="158">
        <f>F20-'січень 17'!F20</f>
        <v>2561.769999999997</v>
      </c>
      <c r="P20" s="159">
        <f t="shared" si="6"/>
        <v>-36395.23</v>
      </c>
      <c r="Q20" s="156">
        <f t="shared" si="9"/>
        <v>6.575891367405079</v>
      </c>
      <c r="R20" s="106"/>
      <c r="S20" s="107"/>
      <c r="T20" s="145">
        <f t="shared" si="8"/>
        <v>325205.6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32080.8</v>
      </c>
      <c r="F21" s="168">
        <f>F22+F25+F26</f>
        <v>16839.43</v>
      </c>
      <c r="G21" s="148">
        <f t="shared" si="0"/>
        <v>-15241.369999999999</v>
      </c>
      <c r="H21" s="155">
        <f t="shared" si="3"/>
        <v>52.49067978354655</v>
      </c>
      <c r="I21" s="156">
        <f t="shared" si="4"/>
        <v>-189781.57</v>
      </c>
      <c r="J21" s="156">
        <f t="shared" si="5"/>
        <v>8.149912158009109</v>
      </c>
      <c r="K21" s="156">
        <v>25484.06</v>
      </c>
      <c r="L21" s="159">
        <f t="shared" si="1"/>
        <v>-8644.630000000001</v>
      </c>
      <c r="M21" s="207">
        <f t="shared" si="2"/>
        <v>0.6607828579904458</v>
      </c>
      <c r="N21" s="155">
        <f>E21-'січень 17'!E21</f>
        <v>15335</v>
      </c>
      <c r="O21" s="158">
        <f>F21-'січень 17'!F21</f>
        <v>319.15000000000146</v>
      </c>
      <c r="P21" s="159">
        <f t="shared" si="6"/>
        <v>-15015.849999999999</v>
      </c>
      <c r="Q21" s="156">
        <f t="shared" si="9"/>
        <v>2.0811868275187573</v>
      </c>
      <c r="R21" s="106"/>
      <c r="S21" s="107"/>
      <c r="T21" s="145">
        <f t="shared" si="8"/>
        <v>174540.2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4375</v>
      </c>
      <c r="F22" s="170">
        <v>3863.98</v>
      </c>
      <c r="G22" s="169">
        <f t="shared" si="0"/>
        <v>-511.02</v>
      </c>
      <c r="H22" s="171">
        <f t="shared" si="3"/>
        <v>88.31954285714285</v>
      </c>
      <c r="I22" s="172">
        <f t="shared" si="4"/>
        <v>-18945.02</v>
      </c>
      <c r="J22" s="172">
        <f t="shared" si="5"/>
        <v>16.940593625323338</v>
      </c>
      <c r="K22" s="173">
        <v>3552.77</v>
      </c>
      <c r="L22" s="164">
        <f t="shared" si="1"/>
        <v>311.21000000000004</v>
      </c>
      <c r="M22" s="213">
        <f t="shared" si="2"/>
        <v>1.0875964388350499</v>
      </c>
      <c r="N22" s="193">
        <f>E22-'січень 17'!E22</f>
        <v>225</v>
      </c>
      <c r="O22" s="177">
        <f>F22-'січень 17'!F22</f>
        <v>44.36999999999989</v>
      </c>
      <c r="P22" s="175">
        <f t="shared" si="6"/>
        <v>-180.6300000000001</v>
      </c>
      <c r="Q22" s="172">
        <f t="shared" si="9"/>
        <v>19.719999999999953</v>
      </c>
      <c r="R22" s="106"/>
      <c r="S22" s="107"/>
      <c r="T22" s="145">
        <f t="shared" si="8"/>
        <v>18434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195</v>
      </c>
      <c r="F23" s="161">
        <v>121.46</v>
      </c>
      <c r="G23" s="196">
        <f t="shared" si="0"/>
        <v>-73.54</v>
      </c>
      <c r="H23" s="197">
        <f t="shared" si="3"/>
        <v>62.287179487179486</v>
      </c>
      <c r="I23" s="198">
        <f t="shared" si="4"/>
        <v>-1700.84</v>
      </c>
      <c r="J23" s="198">
        <f t="shared" si="5"/>
        <v>6.665203314492674</v>
      </c>
      <c r="K23" s="198">
        <v>146.88</v>
      </c>
      <c r="L23" s="198">
        <f t="shared" si="1"/>
        <v>-25.42</v>
      </c>
      <c r="M23" s="226">
        <f t="shared" si="2"/>
        <v>0.8269335511982571</v>
      </c>
      <c r="N23" s="234">
        <f>E23-'січень 17'!E23</f>
        <v>55</v>
      </c>
      <c r="O23" s="234">
        <f>F23-'січень 17'!F23</f>
        <v>1.0899999999999892</v>
      </c>
      <c r="P23" s="198">
        <f t="shared" si="6"/>
        <v>-53.91000000000001</v>
      </c>
      <c r="Q23" s="198">
        <f t="shared" si="9"/>
        <v>1.981818181818162</v>
      </c>
      <c r="R23" s="106"/>
      <c r="S23" s="107"/>
      <c r="T23" s="145">
        <f t="shared" si="8"/>
        <v>1627.3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4180</v>
      </c>
      <c r="F24" s="161">
        <v>3742.52</v>
      </c>
      <c r="G24" s="196">
        <f t="shared" si="0"/>
        <v>-437.48</v>
      </c>
      <c r="H24" s="197">
        <f t="shared" si="3"/>
        <v>89.53397129186604</v>
      </c>
      <c r="I24" s="198">
        <f t="shared" si="4"/>
        <v>-17244.18</v>
      </c>
      <c r="J24" s="198">
        <f t="shared" si="5"/>
        <v>17.832817927544586</v>
      </c>
      <c r="K24" s="198">
        <v>3405.89</v>
      </c>
      <c r="L24" s="198">
        <f t="shared" si="1"/>
        <v>336.6300000000001</v>
      </c>
      <c r="M24" s="226">
        <f t="shared" si="2"/>
        <v>1.0988376019190285</v>
      </c>
      <c r="N24" s="234">
        <f>E24-'січень 17'!E24</f>
        <v>170</v>
      </c>
      <c r="O24" s="234">
        <f>F24-'січень 17'!F24</f>
        <v>43.2800000000002</v>
      </c>
      <c r="P24" s="198">
        <f t="shared" si="6"/>
        <v>-126.7199999999998</v>
      </c>
      <c r="Q24" s="198">
        <f t="shared" si="9"/>
        <v>25.458823529411884</v>
      </c>
      <c r="R24" s="106"/>
      <c r="S24" s="107"/>
      <c r="T24" s="145">
        <f t="shared" si="8"/>
        <v>16806.7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50.8</v>
      </c>
      <c r="F25" s="170">
        <v>52.08</v>
      </c>
      <c r="G25" s="169">
        <f t="shared" si="0"/>
        <v>1.2800000000000011</v>
      </c>
      <c r="H25" s="171">
        <f t="shared" si="3"/>
        <v>102.51968503937007</v>
      </c>
      <c r="I25" s="172">
        <f t="shared" si="4"/>
        <v>-767.92</v>
      </c>
      <c r="J25" s="172">
        <f t="shared" si="5"/>
        <v>6.351219512195122</v>
      </c>
      <c r="K25" s="172">
        <v>174.21</v>
      </c>
      <c r="L25" s="172">
        <f t="shared" si="1"/>
        <v>-122.13000000000001</v>
      </c>
      <c r="M25" s="210">
        <f t="shared" si="2"/>
        <v>0.2989495436542104</v>
      </c>
      <c r="N25" s="193">
        <f>E25-'січень 17'!E25</f>
        <v>5</v>
      </c>
      <c r="O25" s="177">
        <f>F25-'січень 17'!F25</f>
        <v>0</v>
      </c>
      <c r="P25" s="175">
        <f t="shared" si="6"/>
        <v>-5</v>
      </c>
      <c r="Q25" s="172">
        <f>O25/N25*100</f>
        <v>0</v>
      </c>
      <c r="R25" s="106"/>
      <c r="S25" s="107"/>
      <c r="T25" s="145">
        <f t="shared" si="8"/>
        <v>769.2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27655</v>
      </c>
      <c r="F26" s="170">
        <v>12923.37</v>
      </c>
      <c r="G26" s="169">
        <f t="shared" si="0"/>
        <v>-14731.63</v>
      </c>
      <c r="H26" s="171">
        <f t="shared" si="3"/>
        <v>46.73068161272826</v>
      </c>
      <c r="I26" s="172">
        <f t="shared" si="4"/>
        <v>-170068.63</v>
      </c>
      <c r="J26" s="172">
        <f t="shared" si="5"/>
        <v>7.062259552330157</v>
      </c>
      <c r="K26" s="173">
        <v>21757.07</v>
      </c>
      <c r="L26" s="173">
        <f t="shared" si="1"/>
        <v>-8833.699999999999</v>
      </c>
      <c r="M26" s="209">
        <f t="shared" si="2"/>
        <v>0.5939848518205807</v>
      </c>
      <c r="N26" s="193">
        <f>E26-'січень 17'!E26</f>
        <v>15105</v>
      </c>
      <c r="O26" s="177">
        <f>F26-'січень 17'!F26</f>
        <v>274.78000000000065</v>
      </c>
      <c r="P26" s="175">
        <f t="shared" si="6"/>
        <v>-14830.22</v>
      </c>
      <c r="Q26" s="172">
        <f>O26/N26*100</f>
        <v>1.8191327375041422</v>
      </c>
      <c r="R26" s="106"/>
      <c r="S26" s="107"/>
      <c r="T26" s="145">
        <f t="shared" si="8"/>
        <v>155337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8180</v>
      </c>
      <c r="F27" s="161">
        <v>3852.8</v>
      </c>
      <c r="G27" s="196">
        <f t="shared" si="0"/>
        <v>-4327.2</v>
      </c>
      <c r="H27" s="197">
        <f t="shared" si="3"/>
        <v>47.10024449877751</v>
      </c>
      <c r="I27" s="198">
        <f t="shared" si="4"/>
        <v>-53680.2</v>
      </c>
      <c r="J27" s="198">
        <f t="shared" si="5"/>
        <v>6.696678428032608</v>
      </c>
      <c r="K27" s="198">
        <v>6708.33</v>
      </c>
      <c r="L27" s="198">
        <f t="shared" si="1"/>
        <v>-2855.5299999999997</v>
      </c>
      <c r="M27" s="226">
        <f t="shared" si="2"/>
        <v>0.5743307201643331</v>
      </c>
      <c r="N27" s="234">
        <f>E27-'січень 17'!E27</f>
        <v>4650</v>
      </c>
      <c r="O27" s="234">
        <f>F27-'січень 17'!F27</f>
        <v>52.940000000000055</v>
      </c>
      <c r="P27" s="198">
        <f t="shared" si="6"/>
        <v>-4597.0599999999995</v>
      </c>
      <c r="Q27" s="198">
        <f>O27/N27*100</f>
        <v>1.138494623655915</v>
      </c>
      <c r="R27" s="106"/>
      <c r="S27" s="107"/>
      <c r="T27" s="145">
        <f t="shared" si="8"/>
        <v>49353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19475</v>
      </c>
      <c r="F28" s="161">
        <v>3070.57</v>
      </c>
      <c r="G28" s="196">
        <f t="shared" si="0"/>
        <v>-16404.43</v>
      </c>
      <c r="H28" s="197">
        <f t="shared" si="3"/>
        <v>15.766726572528883</v>
      </c>
      <c r="I28" s="198">
        <f t="shared" si="4"/>
        <v>-122388.43</v>
      </c>
      <c r="J28" s="198">
        <f t="shared" si="5"/>
        <v>2.447468894220423</v>
      </c>
      <c r="K28" s="198">
        <v>15048.75</v>
      </c>
      <c r="L28" s="198">
        <f t="shared" si="1"/>
        <v>-11978.18</v>
      </c>
      <c r="M28" s="226">
        <f t="shared" si="2"/>
        <v>0.20404153168867847</v>
      </c>
      <c r="N28" s="234">
        <f>E28-'січень 17'!E28</f>
        <v>10455</v>
      </c>
      <c r="O28" s="234">
        <f>F28-'січень 17'!F28</f>
        <v>-5778.16</v>
      </c>
      <c r="P28" s="198">
        <f t="shared" si="6"/>
        <v>-16233.16</v>
      </c>
      <c r="Q28" s="198">
        <f>O28/N28*100</f>
        <v>-55.26695361071258</v>
      </c>
      <c r="R28" s="106"/>
      <c r="S28" s="107"/>
      <c r="T28" s="145">
        <f t="shared" si="8"/>
        <v>105984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>
        <f>E29-'січень 17'!E29</f>
        <v>0</v>
      </c>
      <c r="O29" s="158">
        <f>F29-'січень 17'!F29</f>
        <v>0</v>
      </c>
      <c r="P29" s="159">
        <f t="shared" si="6"/>
        <v>0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15</v>
      </c>
      <c r="F30" s="154">
        <v>13.06</v>
      </c>
      <c r="G30" s="148">
        <f t="shared" si="0"/>
        <v>-1.9399999999999995</v>
      </c>
      <c r="H30" s="155">
        <f t="shared" si="3"/>
        <v>87.06666666666666</v>
      </c>
      <c r="I30" s="156">
        <f t="shared" si="4"/>
        <v>-101.94</v>
      </c>
      <c r="J30" s="156">
        <f t="shared" si="5"/>
        <v>11.356521739130434</v>
      </c>
      <c r="K30" s="156">
        <v>20.81</v>
      </c>
      <c r="L30" s="156">
        <f t="shared" si="1"/>
        <v>-7.749999999999998</v>
      </c>
      <c r="M30" s="208">
        <f>F30/K30</f>
        <v>0.6275828928399808</v>
      </c>
      <c r="N30" s="155">
        <f>E30-'січень 17'!E30</f>
        <v>12</v>
      </c>
      <c r="O30" s="158">
        <f>F30-'січень 17'!F30</f>
        <v>0</v>
      </c>
      <c r="P30" s="159">
        <f t="shared" si="6"/>
        <v>-12</v>
      </c>
      <c r="Q30" s="156">
        <f>O30/N30*100</f>
        <v>0</v>
      </c>
      <c r="R30" s="106"/>
      <c r="S30" s="107"/>
      <c r="T30" s="145">
        <f t="shared" si="8"/>
        <v>100</v>
      </c>
    </row>
    <row r="31" spans="1:20" s="6" customFormat="1" ht="49.5" customHeight="1">
      <c r="A31" s="8"/>
      <c r="B31" s="223" t="s">
        <v>83</v>
      </c>
      <c r="C31" s="113">
        <v>18040000</v>
      </c>
      <c r="D31" s="148"/>
      <c r="E31" s="148"/>
      <c r="F31" s="154">
        <v>-3.63</v>
      </c>
      <c r="G31" s="148">
        <f t="shared" si="0"/>
        <v>-3.63</v>
      </c>
      <c r="H31" s="155"/>
      <c r="I31" s="156">
        <f t="shared" si="4"/>
        <v>-3.63</v>
      </c>
      <c r="J31" s="156"/>
      <c r="K31" s="156">
        <v>-52.93</v>
      </c>
      <c r="L31" s="156">
        <f t="shared" si="1"/>
        <v>49.3</v>
      </c>
      <c r="M31" s="208">
        <f>F31/K31</f>
        <v>0.06858114490836954</v>
      </c>
      <c r="N31" s="155">
        <f>E31-'січень 17'!E31</f>
        <v>0</v>
      </c>
      <c r="O31" s="158">
        <f>F31-'січень 17'!F31</f>
        <v>-0.6999999999999997</v>
      </c>
      <c r="P31" s="159">
        <f t="shared" si="6"/>
        <v>-0.6999999999999997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43828.7</v>
      </c>
      <c r="F32" s="161">
        <v>22893</v>
      </c>
      <c r="G32" s="160">
        <f t="shared" si="0"/>
        <v>-20935.699999999997</v>
      </c>
      <c r="H32" s="162">
        <f t="shared" si="3"/>
        <v>52.2328976218779</v>
      </c>
      <c r="I32" s="163">
        <f t="shared" si="4"/>
        <v>-171501.1</v>
      </c>
      <c r="J32" s="163">
        <f t="shared" si="5"/>
        <v>11.776591985044814</v>
      </c>
      <c r="K32" s="176">
        <v>33594.51</v>
      </c>
      <c r="L32" s="176">
        <f>F32-K32</f>
        <v>-10701.510000000002</v>
      </c>
      <c r="M32" s="224">
        <f>F32/K32</f>
        <v>0.6814506298797035</v>
      </c>
      <c r="N32" s="155">
        <f>E32-'січень 17'!E32</f>
        <v>23609.999999999996</v>
      </c>
      <c r="O32" s="158">
        <f>F32-'січень 17'!F32</f>
        <v>2243.3199999999997</v>
      </c>
      <c r="P32" s="165">
        <f t="shared" si="6"/>
        <v>-21366.679999999997</v>
      </c>
      <c r="Q32" s="163">
        <f>O32/N32*100</f>
        <v>9.501567132570944</v>
      </c>
      <c r="R32" s="106"/>
      <c r="S32" s="107"/>
      <c r="T32" s="145">
        <f t="shared" si="8"/>
        <v>150565.40000000002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0.07</v>
      </c>
      <c r="L33" s="126">
        <f t="shared" si="1"/>
        <v>-0.07</v>
      </c>
      <c r="M33" s="214">
        <f aca="true" t="shared" si="10" ref="M33:M39">F33/K33</f>
        <v>0</v>
      </c>
      <c r="N33" s="104">
        <f>E33-'січень 17'!E33</f>
        <v>0</v>
      </c>
      <c r="O33" s="142">
        <f>F33-'січень 17'!F33</f>
        <v>0</v>
      </c>
      <c r="P33" s="105">
        <f t="shared" si="6"/>
        <v>0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9110</v>
      </c>
      <c r="F34" s="138">
        <v>3981.58</v>
      </c>
      <c r="G34" s="102">
        <f t="shared" si="0"/>
        <v>-5128.42</v>
      </c>
      <c r="H34" s="104">
        <f t="shared" si="3"/>
        <v>43.70559824368826</v>
      </c>
      <c r="I34" s="103">
        <f t="shared" si="4"/>
        <v>-37018.42</v>
      </c>
      <c r="J34" s="103">
        <f t="shared" si="5"/>
        <v>9.711170731707316</v>
      </c>
      <c r="K34" s="126">
        <v>8679.27</v>
      </c>
      <c r="L34" s="126">
        <f t="shared" si="1"/>
        <v>-4697.6900000000005</v>
      </c>
      <c r="M34" s="214">
        <f t="shared" si="10"/>
        <v>0.45874595444086885</v>
      </c>
      <c r="N34" s="104">
        <f>E34-'січень 17'!E34</f>
        <v>5610</v>
      </c>
      <c r="O34" s="142">
        <f>F34-'січень 17'!F34</f>
        <v>396.5499999999997</v>
      </c>
      <c r="P34" s="105">
        <f t="shared" si="6"/>
        <v>-5213.450000000001</v>
      </c>
      <c r="Q34" s="103">
        <f>O34/N34*100</f>
        <v>7.0686274509803875</v>
      </c>
      <c r="R34" s="106"/>
      <c r="S34" s="107"/>
      <c r="T34" s="145">
        <f t="shared" si="8"/>
        <v>31890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34700</v>
      </c>
      <c r="F35" s="138">
        <v>18895.31</v>
      </c>
      <c r="G35" s="102">
        <f t="shared" si="0"/>
        <v>-15804.689999999999</v>
      </c>
      <c r="H35" s="104">
        <f t="shared" si="3"/>
        <v>54.453342939481274</v>
      </c>
      <c r="I35" s="103">
        <f t="shared" si="4"/>
        <v>-134443.79</v>
      </c>
      <c r="J35" s="103">
        <f t="shared" si="5"/>
        <v>12.322564825279397</v>
      </c>
      <c r="K35" s="126">
        <v>24907.67</v>
      </c>
      <c r="L35" s="126">
        <f t="shared" si="1"/>
        <v>-6012.359999999997</v>
      </c>
      <c r="M35" s="214">
        <f t="shared" si="10"/>
        <v>0.758614113644512</v>
      </c>
      <c r="N35" s="104">
        <f>E35-'січень 17'!E35</f>
        <v>18000</v>
      </c>
      <c r="O35" s="142">
        <f>F35-'січень 17'!F35</f>
        <v>1846.7700000000004</v>
      </c>
      <c r="P35" s="105">
        <f t="shared" si="6"/>
        <v>-16153.23</v>
      </c>
      <c r="Q35" s="103">
        <f>O35/N35*100</f>
        <v>10.259833333333336</v>
      </c>
      <c r="R35" s="106"/>
      <c r="S35" s="107"/>
      <c r="T35" s="145">
        <f t="shared" si="8"/>
        <v>118639.1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7.49</v>
      </c>
      <c r="L36" s="126">
        <f t="shared" si="1"/>
        <v>8.62</v>
      </c>
      <c r="M36" s="214">
        <f t="shared" si="10"/>
        <v>2.15086782376502</v>
      </c>
      <c r="N36" s="104">
        <f>E36-'січень 17'!E36</f>
        <v>0</v>
      </c>
      <c r="O36" s="142">
        <f>F36-'січень 17'!F36</f>
        <v>0</v>
      </c>
      <c r="P36" s="105">
        <f t="shared" si="6"/>
        <v>0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0</v>
      </c>
      <c r="L37" s="118">
        <f t="shared" si="1"/>
        <v>0</v>
      </c>
      <c r="M37" s="215" t="e">
        <f t="shared" si="10"/>
        <v>#DIV/0!</v>
      </c>
      <c r="N37" s="155">
        <f>E37-'січень 17'!E37</f>
        <v>0</v>
      </c>
      <c r="O37" s="158">
        <f>F37-'січень 17'!F37</f>
        <v>0</v>
      </c>
      <c r="P37" s="35">
        <f t="shared" si="6"/>
        <v>0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7774.1</v>
      </c>
      <c r="F38" s="149">
        <f>F39+F40+F41+F42+F43+F45+F47+F48+F49+F50+F51+F56+F57+F61+F44</f>
        <v>6516.47</v>
      </c>
      <c r="G38" s="149">
        <f>G39+G40+G41+G42+G43+G45+G47+G48+G49+G50+G51+G56+G57+G61</f>
        <v>-1244.0299999999995</v>
      </c>
      <c r="H38" s="150">
        <f>F38/E38*100</f>
        <v>83.82282193437183</v>
      </c>
      <c r="I38" s="151">
        <f>F38-D38</f>
        <v>-52508.53</v>
      </c>
      <c r="J38" s="151">
        <f>F38/D38*100</f>
        <v>11.04018636171114</v>
      </c>
      <c r="K38" s="149">
        <v>4916.44</v>
      </c>
      <c r="L38" s="149">
        <f t="shared" si="1"/>
        <v>1600.0300000000007</v>
      </c>
      <c r="M38" s="203">
        <f t="shared" si="10"/>
        <v>1.3254448340669267</v>
      </c>
      <c r="N38" s="149">
        <f>N39+N40+N41+N42+N43+N45+N47+N48+N49+N50+N51+N56+N57+N61+N44</f>
        <v>4786.3</v>
      </c>
      <c r="O38" s="149">
        <f>O39+O40+O41+O42+O43+O45+O47+O48+O49+O50+O51+O56+O57+O61+O44</f>
        <v>2288.7400000000002</v>
      </c>
      <c r="P38" s="149">
        <f>P39+P40+P41+P42+P43+P45+P47+P48+P49+P50+P51+P56+P57+P61</f>
        <v>-2490.7599999999993</v>
      </c>
      <c r="Q38" s="149">
        <f>O38/N38*100</f>
        <v>47.81856548899986</v>
      </c>
      <c r="R38" s="15" t="e">
        <f>#N/A</f>
        <v>#N/A</v>
      </c>
      <c r="S38" s="15" t="e">
        <f>#N/A</f>
        <v>#N/A</v>
      </c>
      <c r="T38" s="145">
        <f t="shared" si="8"/>
        <v>51250.9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80</v>
      </c>
      <c r="F39" s="154">
        <v>8.18</v>
      </c>
      <c r="G39" s="160">
        <f>F39-E39</f>
        <v>-71.82</v>
      </c>
      <c r="H39" s="162"/>
      <c r="I39" s="163">
        <f>F39-D39</f>
        <v>-571.82</v>
      </c>
      <c r="J39" s="163">
        <f>F39/D39*100</f>
        <v>1.410344827586207</v>
      </c>
      <c r="K39" s="163">
        <v>78.05</v>
      </c>
      <c r="L39" s="163">
        <f t="shared" si="1"/>
        <v>-69.87</v>
      </c>
      <c r="M39" s="216">
        <f t="shared" si="10"/>
        <v>0.10480461242793081</v>
      </c>
      <c r="N39" s="162">
        <f>E39-'січень 17'!E39</f>
        <v>80</v>
      </c>
      <c r="O39" s="166">
        <f>F39-'січень 17'!F39</f>
        <v>0</v>
      </c>
      <c r="P39" s="165">
        <f>O39-N39</f>
        <v>-80</v>
      </c>
      <c r="Q39" s="163">
        <f aca="true" t="shared" si="11" ref="Q39:Q62">O39/N39*100</f>
        <v>0</v>
      </c>
      <c r="R39" s="36"/>
      <c r="S39" s="93"/>
      <c r="T39" s="145">
        <f t="shared" si="8"/>
        <v>500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2500</v>
      </c>
      <c r="F40" s="154">
        <v>2116.32</v>
      </c>
      <c r="G40" s="160">
        <f aca="true" t="shared" si="12" ref="G40:G63">F40-E40</f>
        <v>-383.67999999999984</v>
      </c>
      <c r="H40" s="162"/>
      <c r="I40" s="163">
        <f aca="true" t="shared" si="13" ref="I40:I63">F40-D40</f>
        <v>-27883.68</v>
      </c>
      <c r="J40" s="163">
        <f>F40/D40*100</f>
        <v>7.054400000000001</v>
      </c>
      <c r="K40" s="163">
        <v>432.1</v>
      </c>
      <c r="L40" s="163">
        <f t="shared" si="1"/>
        <v>1684.2200000000003</v>
      </c>
      <c r="M40" s="216"/>
      <c r="N40" s="162">
        <f>E40-'січень 17'!E40</f>
        <v>2500</v>
      </c>
      <c r="O40" s="166">
        <f>F40-'січень 17'!F40</f>
        <v>2116.32</v>
      </c>
      <c r="P40" s="165">
        <f aca="true" t="shared" si="14" ref="P40:P63">O40-N40</f>
        <v>-383.67999999999984</v>
      </c>
      <c r="Q40" s="163">
        <f t="shared" si="11"/>
        <v>84.6528</v>
      </c>
      <c r="R40" s="36"/>
      <c r="S40" s="93"/>
      <c r="T40" s="145">
        <f t="shared" si="8"/>
        <v>27500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16</v>
      </c>
      <c r="F41" s="154">
        <v>30.14</v>
      </c>
      <c r="G41" s="160">
        <f t="shared" si="12"/>
        <v>14.14</v>
      </c>
      <c r="H41" s="162">
        <f aca="true" t="shared" si="15" ref="H41:H62">F41/E41*100</f>
        <v>188.375</v>
      </c>
      <c r="I41" s="163">
        <f t="shared" si="13"/>
        <v>-9.86</v>
      </c>
      <c r="J41" s="163">
        <f aca="true" t="shared" si="16" ref="J41:J62">F41/D41*100</f>
        <v>75.35000000000001</v>
      </c>
      <c r="K41" s="163">
        <v>24.38</v>
      </c>
      <c r="L41" s="163">
        <f t="shared" si="1"/>
        <v>5.760000000000002</v>
      </c>
      <c r="M41" s="216">
        <f aca="true" t="shared" si="17" ref="M41:M63">F41/K41</f>
        <v>1.236259228876128</v>
      </c>
      <c r="N41" s="162">
        <f>E41-'січень 17'!E41</f>
        <v>6</v>
      </c>
      <c r="O41" s="166">
        <f>F41-'січень 17'!F41</f>
        <v>15.270000000000001</v>
      </c>
      <c r="P41" s="165">
        <f t="shared" si="14"/>
        <v>9.270000000000001</v>
      </c>
      <c r="Q41" s="163"/>
      <c r="R41" s="36"/>
      <c r="S41" s="93"/>
      <c r="T41" s="145">
        <f t="shared" si="8"/>
        <v>24</v>
      </c>
    </row>
    <row r="42" spans="1:20" s="6" customFormat="1" ht="31.5" hidden="1">
      <c r="A42" s="8"/>
      <c r="B42" s="230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6">
        <f t="shared" si="17"/>
        <v>0</v>
      </c>
      <c r="N42" s="162">
        <f>E42-'січень 17'!E42</f>
        <v>0</v>
      </c>
      <c r="O42" s="166">
        <f>F42-'січень 17'!F42</f>
        <v>0</v>
      </c>
      <c r="P42" s="165">
        <f t="shared" si="14"/>
        <v>0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40</v>
      </c>
      <c r="F43" s="154">
        <v>11.17</v>
      </c>
      <c r="G43" s="160">
        <f t="shared" si="12"/>
        <v>-28.83</v>
      </c>
      <c r="H43" s="162">
        <f t="shared" si="15"/>
        <v>27.925</v>
      </c>
      <c r="I43" s="163">
        <f t="shared" si="13"/>
        <v>-248.83</v>
      </c>
      <c r="J43" s="163">
        <f t="shared" si="16"/>
        <v>4.296153846153846</v>
      </c>
      <c r="K43" s="163">
        <v>3.65</v>
      </c>
      <c r="L43" s="163">
        <f t="shared" si="1"/>
        <v>7.52</v>
      </c>
      <c r="M43" s="216">
        <f t="shared" si="17"/>
        <v>3.0602739726027397</v>
      </c>
      <c r="N43" s="162">
        <f>E43-'січень 17'!E43</f>
        <v>20</v>
      </c>
      <c r="O43" s="166">
        <f>F43-'січень 17'!F43</f>
        <v>0</v>
      </c>
      <c r="P43" s="165">
        <f t="shared" si="14"/>
        <v>-20</v>
      </c>
      <c r="Q43" s="163">
        <f t="shared" si="11"/>
        <v>0</v>
      </c>
      <c r="R43" s="36"/>
      <c r="S43" s="93"/>
      <c r="T43" s="145">
        <f t="shared" si="8"/>
        <v>220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13.6</v>
      </c>
      <c r="F44" s="154">
        <v>0</v>
      </c>
      <c r="G44" s="160">
        <f t="shared" si="12"/>
        <v>-13.6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>
        <f>E44-'січень 17'!E44</f>
        <v>6.8</v>
      </c>
      <c r="O44" s="166">
        <f>F44-'січень 17'!F44</f>
        <v>0</v>
      </c>
      <c r="P44" s="165"/>
      <c r="Q44" s="163"/>
      <c r="R44" s="36"/>
      <c r="S44" s="93"/>
      <c r="T44" s="145">
        <f t="shared" si="8"/>
        <v>83.9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120</v>
      </c>
      <c r="F45" s="154">
        <v>101.5</v>
      </c>
      <c r="G45" s="160">
        <f t="shared" si="12"/>
        <v>-18.5</v>
      </c>
      <c r="H45" s="162">
        <f t="shared" si="15"/>
        <v>84.58333333333333</v>
      </c>
      <c r="I45" s="163">
        <f t="shared" si="13"/>
        <v>-628.5</v>
      </c>
      <c r="J45" s="163">
        <f t="shared" si="16"/>
        <v>13.904109589041097</v>
      </c>
      <c r="K45" s="163">
        <v>0</v>
      </c>
      <c r="L45" s="163">
        <f t="shared" si="1"/>
        <v>101.5</v>
      </c>
      <c r="M45" s="216"/>
      <c r="N45" s="162">
        <f>E45-'січень 17'!E45</f>
        <v>60</v>
      </c>
      <c r="O45" s="166">
        <f>F45-'січень 17'!F45</f>
        <v>12.049999999999997</v>
      </c>
      <c r="P45" s="165">
        <f t="shared" si="14"/>
        <v>-47.95</v>
      </c>
      <c r="Q45" s="163">
        <f t="shared" si="11"/>
        <v>20.08333333333333</v>
      </c>
      <c r="R45" s="36"/>
      <c r="S45" s="93"/>
      <c r="T45" s="145">
        <f t="shared" si="8"/>
        <v>610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>
        <f>E46-'січень 17'!E46</f>
        <v>0</v>
      </c>
      <c r="O46" s="166">
        <f>F46-'січень 17'!F46</f>
        <v>0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1400</v>
      </c>
      <c r="F47" s="154">
        <v>1131.43</v>
      </c>
      <c r="G47" s="160">
        <f t="shared" si="12"/>
        <v>-268.56999999999994</v>
      </c>
      <c r="H47" s="162">
        <f t="shared" si="15"/>
        <v>80.81642857142857</v>
      </c>
      <c r="I47" s="163">
        <f t="shared" si="13"/>
        <v>-9868.57</v>
      </c>
      <c r="J47" s="163">
        <f t="shared" si="16"/>
        <v>10.285727272727273</v>
      </c>
      <c r="K47" s="163">
        <v>1351.17</v>
      </c>
      <c r="L47" s="163">
        <f t="shared" si="1"/>
        <v>-219.74</v>
      </c>
      <c r="M47" s="216">
        <f t="shared" si="17"/>
        <v>0.8373705751311826</v>
      </c>
      <c r="N47" s="162">
        <f>E47-'січень 17'!E47</f>
        <v>800</v>
      </c>
      <c r="O47" s="166">
        <f>F47-'січень 17'!F47</f>
        <v>78.87000000000012</v>
      </c>
      <c r="P47" s="165">
        <f t="shared" si="14"/>
        <v>-721.1299999999999</v>
      </c>
      <c r="Q47" s="163">
        <f t="shared" si="11"/>
        <v>9.858750000000015</v>
      </c>
      <c r="R47" s="36"/>
      <c r="S47" s="93"/>
      <c r="T47" s="145">
        <f t="shared" si="8"/>
        <v>9600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50</v>
      </c>
      <c r="F48" s="154">
        <v>48.41</v>
      </c>
      <c r="G48" s="160">
        <f t="shared" si="12"/>
        <v>-1.5900000000000034</v>
      </c>
      <c r="H48" s="162">
        <f t="shared" si="15"/>
        <v>96.82</v>
      </c>
      <c r="I48" s="163">
        <f t="shared" si="13"/>
        <v>-261.59000000000003</v>
      </c>
      <c r="J48" s="163">
        <f t="shared" si="16"/>
        <v>15.616129032258064</v>
      </c>
      <c r="K48" s="163">
        <v>1.03</v>
      </c>
      <c r="L48" s="163">
        <f t="shared" si="1"/>
        <v>47.379999999999995</v>
      </c>
      <c r="M48" s="216"/>
      <c r="N48" s="162">
        <f>E48-'січень 17'!E48</f>
        <v>25</v>
      </c>
      <c r="O48" s="166">
        <f>F48-'січень 17'!F48</f>
        <v>3.8799999999999955</v>
      </c>
      <c r="P48" s="165">
        <f t="shared" si="14"/>
        <v>-21.120000000000005</v>
      </c>
      <c r="Q48" s="163"/>
      <c r="R48" s="36"/>
      <c r="S48" s="93"/>
      <c r="T48" s="145">
        <f t="shared" si="8"/>
        <v>260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2</v>
      </c>
      <c r="F49" s="154">
        <v>0</v>
      </c>
      <c r="G49" s="160">
        <f t="shared" si="12"/>
        <v>-2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>
        <f>E49-'січень 17'!E49</f>
        <v>1</v>
      </c>
      <c r="O49" s="166">
        <f>F49-'січень 17'!F49</f>
        <v>0</v>
      </c>
      <c r="P49" s="165">
        <f t="shared" si="14"/>
        <v>-1</v>
      </c>
      <c r="Q49" s="163">
        <f t="shared" si="11"/>
        <v>0</v>
      </c>
      <c r="R49" s="36"/>
      <c r="S49" s="93"/>
      <c r="T49" s="145">
        <f t="shared" si="8"/>
        <v>18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1200</v>
      </c>
      <c r="F50" s="154">
        <v>684.99</v>
      </c>
      <c r="G50" s="160">
        <f t="shared" si="12"/>
        <v>-515.01</v>
      </c>
      <c r="H50" s="162">
        <f t="shared" si="15"/>
        <v>57.0825</v>
      </c>
      <c r="I50" s="163">
        <f t="shared" si="13"/>
        <v>-6590.01</v>
      </c>
      <c r="J50" s="163">
        <f t="shared" si="16"/>
        <v>9.415670103092785</v>
      </c>
      <c r="K50" s="163">
        <v>1303.34</v>
      </c>
      <c r="L50" s="163">
        <f t="shared" si="1"/>
        <v>-618.3499999999999</v>
      </c>
      <c r="M50" s="216">
        <f t="shared" si="17"/>
        <v>0.5255650866235979</v>
      </c>
      <c r="N50" s="162">
        <f>E50-'січень 17'!E50</f>
        <v>600</v>
      </c>
      <c r="O50" s="166">
        <f>F50-'січень 17'!F50</f>
        <v>0</v>
      </c>
      <c r="P50" s="165">
        <f t="shared" si="14"/>
        <v>-600</v>
      </c>
      <c r="Q50" s="163">
        <f t="shared" si="11"/>
        <v>0</v>
      </c>
      <c r="R50" s="36"/>
      <c r="S50" s="93"/>
      <c r="T50" s="145">
        <f t="shared" si="8"/>
        <v>6075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140</v>
      </c>
      <c r="F51" s="154">
        <v>42.5</v>
      </c>
      <c r="G51" s="160">
        <f t="shared" si="12"/>
        <v>-97.5</v>
      </c>
      <c r="H51" s="162">
        <f t="shared" si="15"/>
        <v>30.357142857142854</v>
      </c>
      <c r="I51" s="163">
        <f t="shared" si="13"/>
        <v>-1157.5</v>
      </c>
      <c r="J51" s="163">
        <f t="shared" si="16"/>
        <v>3.5416666666666665</v>
      </c>
      <c r="K51" s="163">
        <v>965.16</v>
      </c>
      <c r="L51" s="163">
        <f t="shared" si="1"/>
        <v>-922.66</v>
      </c>
      <c r="M51" s="216">
        <f t="shared" si="17"/>
        <v>0.044034149778275106</v>
      </c>
      <c r="N51" s="162">
        <f>E51-'січень 17'!E51</f>
        <v>85</v>
      </c>
      <c r="O51" s="166">
        <f>F51-'січень 17'!F51</f>
        <v>2.4099999999999966</v>
      </c>
      <c r="P51" s="165">
        <f t="shared" si="14"/>
        <v>-82.59</v>
      </c>
      <c r="Q51" s="163">
        <f t="shared" si="11"/>
        <v>2.835294117647055</v>
      </c>
      <c r="R51" s="36"/>
      <c r="S51" s="93"/>
      <c r="T51" s="145">
        <f t="shared" si="8"/>
        <v>1060</v>
      </c>
    </row>
    <row r="52" spans="1:20" s="6" customFormat="1" ht="18" hidden="1">
      <c r="A52" s="8"/>
      <c r="B52" s="49" t="s">
        <v>97</v>
      </c>
      <c r="C52" s="122">
        <v>22090100</v>
      </c>
      <c r="D52" s="102">
        <v>998</v>
      </c>
      <c r="E52" s="102">
        <v>110</v>
      </c>
      <c r="F52" s="138">
        <v>34.61</v>
      </c>
      <c r="G52" s="33">
        <f t="shared" si="12"/>
        <v>-75.39</v>
      </c>
      <c r="H52" s="29">
        <f t="shared" si="15"/>
        <v>31.463636363636365</v>
      </c>
      <c r="I52" s="103">
        <f t="shared" si="13"/>
        <v>-963.39</v>
      </c>
      <c r="J52" s="103">
        <f t="shared" si="16"/>
        <v>3.467935871743487</v>
      </c>
      <c r="K52" s="103">
        <v>86.43</v>
      </c>
      <c r="L52" s="103">
        <f>F52-K52</f>
        <v>-51.82000000000001</v>
      </c>
      <c r="M52" s="108">
        <f t="shared" si="17"/>
        <v>0.4004396621543445</v>
      </c>
      <c r="N52" s="162">
        <f>E52-'січень 17'!E52</f>
        <v>70</v>
      </c>
      <c r="O52" s="166">
        <f>F52-'січень 17'!F52</f>
        <v>1.7999999999999972</v>
      </c>
      <c r="P52" s="105">
        <f t="shared" si="14"/>
        <v>-68.2</v>
      </c>
      <c r="Q52" s="118">
        <f t="shared" si="11"/>
        <v>2.571428571428567</v>
      </c>
      <c r="R52" s="36"/>
      <c r="S52" s="93"/>
      <c r="T52" s="145">
        <f t="shared" si="8"/>
        <v>888</v>
      </c>
    </row>
    <row r="53" spans="1:20" s="6" customFormat="1" ht="18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0.05</v>
      </c>
      <c r="G53" s="33">
        <f t="shared" si="12"/>
        <v>0.05</v>
      </c>
      <c r="H53" s="29" t="e">
        <f t="shared" si="15"/>
        <v>#DIV/0!</v>
      </c>
      <c r="I53" s="103">
        <f t="shared" si="13"/>
        <v>-0.95</v>
      </c>
      <c r="J53" s="103">
        <f t="shared" si="16"/>
        <v>5</v>
      </c>
      <c r="K53" s="103">
        <v>0.08</v>
      </c>
      <c r="L53" s="103">
        <f>F53-K53</f>
        <v>-0.03</v>
      </c>
      <c r="M53" s="108">
        <f t="shared" si="17"/>
        <v>0.625</v>
      </c>
      <c r="N53" s="162">
        <f>E53-'січень 17'!E53</f>
        <v>0</v>
      </c>
      <c r="O53" s="166">
        <f>F53-'січень 17'!F53</f>
        <v>0.04</v>
      </c>
      <c r="P53" s="105">
        <f t="shared" si="14"/>
        <v>0.04</v>
      </c>
      <c r="Q53" s="118" t="e">
        <f t="shared" si="11"/>
        <v>#DIV/0!</v>
      </c>
      <c r="R53" s="36"/>
      <c r="S53" s="93"/>
      <c r="T53" s="145">
        <f t="shared" si="8"/>
        <v>1</v>
      </c>
    </row>
    <row r="54" spans="1:20" s="6" customFormat="1" ht="18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62">
        <f>E54-'січень 17'!E54</f>
        <v>0</v>
      </c>
      <c r="O54" s="166">
        <f>F54-'січень 17'!F54</f>
        <v>0</v>
      </c>
      <c r="P54" s="105">
        <f t="shared" si="14"/>
        <v>0</v>
      </c>
      <c r="Q54" s="118"/>
      <c r="R54" s="36"/>
      <c r="S54" s="93"/>
      <c r="T54" s="145">
        <f t="shared" si="8"/>
        <v>1</v>
      </c>
    </row>
    <row r="55" spans="1:20" s="6" customFormat="1" ht="18" hidden="1">
      <c r="A55" s="8"/>
      <c r="B55" s="49" t="s">
        <v>96</v>
      </c>
      <c r="C55" s="122">
        <v>22090400</v>
      </c>
      <c r="D55" s="102">
        <v>200</v>
      </c>
      <c r="E55" s="102">
        <v>30</v>
      </c>
      <c r="F55" s="138">
        <v>7.85</v>
      </c>
      <c r="G55" s="33">
        <f t="shared" si="12"/>
        <v>-22.15</v>
      </c>
      <c r="H55" s="29">
        <f t="shared" si="15"/>
        <v>26.166666666666664</v>
      </c>
      <c r="I55" s="103">
        <f t="shared" si="13"/>
        <v>-192.15</v>
      </c>
      <c r="J55" s="103">
        <f t="shared" si="16"/>
        <v>3.925</v>
      </c>
      <c r="K55" s="103">
        <v>878.65</v>
      </c>
      <c r="L55" s="103">
        <f>F55-K55</f>
        <v>-870.8</v>
      </c>
      <c r="M55" s="108">
        <f t="shared" si="17"/>
        <v>0.008934160359642633</v>
      </c>
      <c r="N55" s="162">
        <f>E55-'січень 17'!E55</f>
        <v>15</v>
      </c>
      <c r="O55" s="166">
        <f>F55-'січень 17'!F55</f>
        <v>0.5800000000000001</v>
      </c>
      <c r="P55" s="105">
        <f t="shared" si="14"/>
        <v>-14.42</v>
      </c>
      <c r="Q55" s="118">
        <f t="shared" si="11"/>
        <v>3.8666666666666667</v>
      </c>
      <c r="R55" s="36"/>
      <c r="S55" s="93"/>
      <c r="T55" s="145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2.5</v>
      </c>
      <c r="F56" s="154">
        <v>1.67</v>
      </c>
      <c r="G56" s="160">
        <f t="shared" si="12"/>
        <v>-0.8300000000000001</v>
      </c>
      <c r="H56" s="162"/>
      <c r="I56" s="163">
        <f t="shared" si="13"/>
        <v>-0.8300000000000001</v>
      </c>
      <c r="J56" s="163">
        <f t="shared" si="16"/>
        <v>66.8</v>
      </c>
      <c r="K56" s="163">
        <v>2.46</v>
      </c>
      <c r="L56" s="163">
        <f>F56-K56</f>
        <v>-0.79</v>
      </c>
      <c r="M56" s="216">
        <f t="shared" si="17"/>
        <v>0.6788617886178862</v>
      </c>
      <c r="N56" s="162">
        <f>E56-'січень 17'!E56</f>
        <v>2.5</v>
      </c>
      <c r="O56" s="166">
        <f>F56-'січень 17'!F56</f>
        <v>0</v>
      </c>
      <c r="P56" s="165">
        <f t="shared" si="14"/>
        <v>-2.5</v>
      </c>
      <c r="Q56" s="163"/>
      <c r="R56" s="36"/>
      <c r="S56" s="93"/>
      <c r="T56" s="145">
        <f t="shared" si="8"/>
        <v>0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2200</v>
      </c>
      <c r="F57" s="154">
        <v>2307.27</v>
      </c>
      <c r="G57" s="160">
        <f t="shared" si="12"/>
        <v>107.26999999999998</v>
      </c>
      <c r="H57" s="162">
        <f t="shared" si="15"/>
        <v>104.87590909090909</v>
      </c>
      <c r="I57" s="163">
        <f t="shared" si="13"/>
        <v>-5042.73</v>
      </c>
      <c r="J57" s="163">
        <f t="shared" si="16"/>
        <v>31.39142857142857</v>
      </c>
      <c r="K57" s="163">
        <v>722.66</v>
      </c>
      <c r="L57" s="163">
        <f aca="true" t="shared" si="18" ref="L57:L63">F57-K57</f>
        <v>1584.6100000000001</v>
      </c>
      <c r="M57" s="216">
        <f t="shared" si="17"/>
        <v>3.1927462430465225</v>
      </c>
      <c r="N57" s="162">
        <f>E57-'січень 17'!E57</f>
        <v>600</v>
      </c>
      <c r="O57" s="166">
        <f>F57-'січень 17'!F57</f>
        <v>59.940000000000055</v>
      </c>
      <c r="P57" s="165">
        <f t="shared" si="14"/>
        <v>-540.06</v>
      </c>
      <c r="Q57" s="163">
        <f t="shared" si="11"/>
        <v>9.990000000000009</v>
      </c>
      <c r="R57" s="36"/>
      <c r="S57" s="93"/>
      <c r="T57" s="145">
        <f t="shared" si="8"/>
        <v>5150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>
        <f>E58-'січень 17'!E58</f>
        <v>0</v>
      </c>
      <c r="O58" s="166">
        <f>F58-'січень 17'!F58</f>
        <v>0</v>
      </c>
      <c r="P58" s="165">
        <f t="shared" si="14"/>
        <v>0</v>
      </c>
      <c r="Q58" s="163" t="e">
        <f t="shared" si="11"/>
        <v>#DIV/0!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158.34</v>
      </c>
      <c r="G59" s="160"/>
      <c r="H59" s="162"/>
      <c r="I59" s="163"/>
      <c r="J59" s="163"/>
      <c r="K59" s="164">
        <v>147.3</v>
      </c>
      <c r="L59" s="163">
        <f t="shared" si="18"/>
        <v>11.039999999999992</v>
      </c>
      <c r="M59" s="216">
        <f t="shared" si="17"/>
        <v>1.0749490835030548</v>
      </c>
      <c r="N59" s="162">
        <f>E59-'січень 17'!E59</f>
        <v>0</v>
      </c>
      <c r="O59" s="166">
        <f>F59-'січень 17'!F59</f>
        <v>5.1299999999999955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>
        <f>E60-'січень 17'!E60</f>
        <v>0</v>
      </c>
      <c r="O60" s="166">
        <f>F60-'січень 17'!F60</f>
        <v>0</v>
      </c>
      <c r="P60" s="165">
        <f t="shared" si="14"/>
        <v>0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>
        <f>E61-'січень 17'!E61</f>
        <v>0</v>
      </c>
      <c r="O61" s="166">
        <f>F61-'січень 17'!F61</f>
        <v>0</v>
      </c>
      <c r="P61" s="165">
        <f t="shared" si="14"/>
        <v>0</v>
      </c>
      <c r="Q61" s="163"/>
      <c r="R61" s="36"/>
      <c r="S61" s="93"/>
      <c r="T61" s="145">
        <f t="shared" si="8"/>
        <v>150</v>
      </c>
    </row>
    <row r="62" spans="1:20" s="6" customFormat="1" ht="34.5" customHeight="1">
      <c r="A62" s="8"/>
      <c r="B62" s="12" t="s">
        <v>44</v>
      </c>
      <c r="C62" s="42">
        <v>31010200</v>
      </c>
      <c r="D62" s="148">
        <v>15</v>
      </c>
      <c r="E62" s="148">
        <v>2.5</v>
      </c>
      <c r="F62" s="154">
        <v>4.24</v>
      </c>
      <c r="G62" s="160">
        <f t="shared" si="12"/>
        <v>1.7400000000000002</v>
      </c>
      <c r="H62" s="162">
        <f t="shared" si="15"/>
        <v>169.60000000000002</v>
      </c>
      <c r="I62" s="163">
        <f t="shared" si="13"/>
        <v>-10.76</v>
      </c>
      <c r="J62" s="163">
        <f t="shared" si="16"/>
        <v>28.26666666666667</v>
      </c>
      <c r="K62" s="163">
        <v>3.8</v>
      </c>
      <c r="L62" s="163">
        <f t="shared" si="18"/>
        <v>0.4400000000000004</v>
      </c>
      <c r="M62" s="216">
        <f t="shared" si="17"/>
        <v>1.1157894736842107</v>
      </c>
      <c r="N62" s="162">
        <f>E62-'січень 17'!E62</f>
        <v>1.3</v>
      </c>
      <c r="O62" s="166">
        <f>F62-'січень 17'!F62</f>
        <v>2.75</v>
      </c>
      <c r="P62" s="165">
        <f t="shared" si="14"/>
        <v>1.45</v>
      </c>
      <c r="Q62" s="163">
        <f t="shared" si="11"/>
        <v>211.53846153846155</v>
      </c>
      <c r="R62" s="36"/>
      <c r="S62" s="93"/>
      <c r="T62" s="145">
        <f t="shared" si="8"/>
        <v>12.5</v>
      </c>
    </row>
    <row r="63" spans="1:20" s="6" customFormat="1" ht="30.75" hidden="1">
      <c r="A63" s="8"/>
      <c r="B63" s="231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2"/>
        <v>0</v>
      </c>
      <c r="H63" s="162"/>
      <c r="I63" s="163">
        <f t="shared" si="13"/>
        <v>0</v>
      </c>
      <c r="J63" s="163"/>
      <c r="K63" s="163">
        <v>0.54</v>
      </c>
      <c r="L63" s="163">
        <f t="shared" si="18"/>
        <v>-0.54</v>
      </c>
      <c r="M63" s="216">
        <f t="shared" si="17"/>
        <v>0</v>
      </c>
      <c r="N63" s="162">
        <f>E63-'січень 17'!E63</f>
        <v>0</v>
      </c>
      <c r="O63" s="166">
        <f>F63-'січень 17'!F63</f>
        <v>0</v>
      </c>
      <c r="P63" s="165">
        <f t="shared" si="14"/>
        <v>0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204022.1</v>
      </c>
      <c r="F64" s="149">
        <f>F8+F38+F62+F63</f>
        <v>104301.56000000001</v>
      </c>
      <c r="G64" s="149">
        <f>F64-E64</f>
        <v>-99720.54</v>
      </c>
      <c r="H64" s="150">
        <f>F64/E64*100</f>
        <v>51.12267739622326</v>
      </c>
      <c r="I64" s="151">
        <f>F64-D64</f>
        <v>-1253189.54</v>
      </c>
      <c r="J64" s="151">
        <f>F64/D64*100</f>
        <v>7.683406543144187</v>
      </c>
      <c r="K64" s="151">
        <v>145343.26</v>
      </c>
      <c r="L64" s="151">
        <f>F64-K64</f>
        <v>-41041.7</v>
      </c>
      <c r="M64" s="217">
        <f>F64/K64</f>
        <v>0.7176222688276017</v>
      </c>
      <c r="N64" s="149">
        <f>N8+N38+N62+N63</f>
        <v>106665.6</v>
      </c>
      <c r="O64" s="149">
        <f>O8+O38+O62+O63</f>
        <v>6215.369999999995</v>
      </c>
      <c r="P64" s="153">
        <f>O64-N64</f>
        <v>-100450.23000000001</v>
      </c>
      <c r="Q64" s="151">
        <f>O64/N64*100</f>
        <v>5.826967644676443</v>
      </c>
      <c r="R64" s="26">
        <f>O64-34768</f>
        <v>-28552.630000000005</v>
      </c>
      <c r="S64" s="114">
        <f>O64/34768</f>
        <v>0.1787669696272433</v>
      </c>
      <c r="T64" s="145">
        <f t="shared" si="8"/>
        <v>1153469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1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  <c r="U68" s="77"/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>
        <f>E69-'січень 17'!E69</f>
        <v>0</v>
      </c>
      <c r="O69" s="180">
        <f>F69-'січень 17'!F69</f>
        <v>0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0">
        <f>E70-'січень 17'!E70</f>
        <v>0</v>
      </c>
      <c r="O70" s="180">
        <f>F70-'січень 17'!F70</f>
        <v>0</v>
      </c>
      <c r="P70" s="165">
        <f>O70-N70</f>
        <v>0</v>
      </c>
      <c r="Q70" s="165"/>
      <c r="R70" s="37"/>
      <c r="S70" s="96"/>
      <c r="T70" s="145">
        <f t="shared" si="8"/>
        <v>0</v>
      </c>
    </row>
    <row r="71" spans="2:21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-0.27</v>
      </c>
      <c r="L71" s="185">
        <f>F71-K71</f>
        <v>0.28</v>
      </c>
      <c r="M71" s="212">
        <f>F71/K71</f>
        <v>-0.037037037037037035</v>
      </c>
      <c r="N71" s="183">
        <f>N70</f>
        <v>0</v>
      </c>
      <c r="O71" s="186">
        <f>SUM(O69:O70)</f>
        <v>0</v>
      </c>
      <c r="P71" s="185">
        <f>O71-N71</f>
        <v>0</v>
      </c>
      <c r="Q71" s="185"/>
      <c r="R71" s="38"/>
      <c r="S71" s="97"/>
      <c r="T71" s="145">
        <f t="shared" si="8"/>
        <v>0</v>
      </c>
      <c r="U71" s="77"/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1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0.05</v>
      </c>
      <c r="G73" s="160">
        <f aca="true" t="shared" si="19" ref="G73:G84">F73-E73</f>
        <v>0.05</v>
      </c>
      <c r="H73" s="162"/>
      <c r="I73" s="165">
        <f aca="true" t="shared" si="20" ref="I73:I84">F73-D73</f>
        <v>-3999.95</v>
      </c>
      <c r="J73" s="165">
        <f>F73/D73*100</f>
        <v>0.00125</v>
      </c>
      <c r="K73" s="165">
        <v>0.1</v>
      </c>
      <c r="L73" s="165">
        <f aca="true" t="shared" si="21" ref="L73:L84">F73-K73</f>
        <v>-0.05</v>
      </c>
      <c r="M73" s="207">
        <f>F73/K73</f>
        <v>0.5</v>
      </c>
      <c r="N73" s="162">
        <f>E73-'січень 17'!E73</f>
        <v>0</v>
      </c>
      <c r="O73" s="166">
        <f>F73-'січень 17'!F73</f>
        <v>0.010000000000000002</v>
      </c>
      <c r="P73" s="165">
        <f aca="true" t="shared" si="22" ref="P73:P86">O73-N73</f>
        <v>0.010000000000000002</v>
      </c>
      <c r="Q73" s="165" t="e">
        <f>O73/N73*100</f>
        <v>#DIV/0!</v>
      </c>
      <c r="R73" s="37"/>
      <c r="S73" s="96"/>
      <c r="T73" s="145">
        <f t="shared" si="8"/>
        <v>4000</v>
      </c>
      <c r="U73" s="4">
        <v>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1230</v>
      </c>
      <c r="F74" s="179">
        <v>11.69</v>
      </c>
      <c r="G74" s="160">
        <f t="shared" si="19"/>
        <v>-1218.31</v>
      </c>
      <c r="H74" s="162">
        <f>F74/E74*100</f>
        <v>0.9504065040650406</v>
      </c>
      <c r="I74" s="165">
        <f t="shared" si="20"/>
        <v>-7988.31</v>
      </c>
      <c r="J74" s="165">
        <f>F74/D74*100</f>
        <v>0.14612499999999998</v>
      </c>
      <c r="K74" s="165">
        <v>376.67</v>
      </c>
      <c r="L74" s="165">
        <f t="shared" si="21"/>
        <v>-364.98</v>
      </c>
      <c r="M74" s="207">
        <f>F74/K74</f>
        <v>0.03103512358297714</v>
      </c>
      <c r="N74" s="162">
        <f>E74-'січень 17'!E74</f>
        <v>630</v>
      </c>
      <c r="O74" s="166">
        <f>F74-'січень 17'!F74</f>
        <v>9.79</v>
      </c>
      <c r="P74" s="165">
        <f t="shared" si="22"/>
        <v>-620.21</v>
      </c>
      <c r="Q74" s="165">
        <f>O74/N74*100</f>
        <v>1.553968253968254</v>
      </c>
      <c r="R74" s="37"/>
      <c r="S74" s="96"/>
      <c r="T74" s="145">
        <f aca="true" t="shared" si="23" ref="T74:T90">D74-E74</f>
        <v>6770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800</v>
      </c>
      <c r="F75" s="179">
        <v>90.12</v>
      </c>
      <c r="G75" s="160">
        <f t="shared" si="19"/>
        <v>-709.88</v>
      </c>
      <c r="H75" s="162">
        <f>F75/E75*100</f>
        <v>11.265</v>
      </c>
      <c r="I75" s="165">
        <f t="shared" si="20"/>
        <v>-9909.88</v>
      </c>
      <c r="J75" s="165">
        <f>F75/D75*100</f>
        <v>0.9012000000000001</v>
      </c>
      <c r="K75" s="165">
        <v>646.84</v>
      </c>
      <c r="L75" s="165">
        <f t="shared" si="21"/>
        <v>-556.72</v>
      </c>
      <c r="M75" s="207">
        <f>F75/K75</f>
        <v>0.13932348030424835</v>
      </c>
      <c r="N75" s="162">
        <f>E75-'січень 17'!E75</f>
        <v>400</v>
      </c>
      <c r="O75" s="166">
        <f>F75-'січень 17'!F75</f>
        <v>0</v>
      </c>
      <c r="P75" s="165">
        <f t="shared" si="22"/>
        <v>-400</v>
      </c>
      <c r="Q75" s="165">
        <f>O75/N75*100</f>
        <v>0</v>
      </c>
      <c r="R75" s="37"/>
      <c r="S75" s="96"/>
      <c r="T75" s="145">
        <f t="shared" si="23"/>
        <v>9200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2</v>
      </c>
      <c r="F76" s="179">
        <v>1</v>
      </c>
      <c r="G76" s="160">
        <f t="shared" si="19"/>
        <v>-1</v>
      </c>
      <c r="H76" s="162">
        <f>F76/E76*100</f>
        <v>50</v>
      </c>
      <c r="I76" s="165">
        <f t="shared" si="20"/>
        <v>-11</v>
      </c>
      <c r="J76" s="165">
        <f>F76/D76*100</f>
        <v>8.333333333333332</v>
      </c>
      <c r="K76" s="165">
        <v>2</v>
      </c>
      <c r="L76" s="165">
        <f t="shared" si="21"/>
        <v>-1</v>
      </c>
      <c r="M76" s="207"/>
      <c r="N76" s="162">
        <f>E76-'січень 17'!E76</f>
        <v>1</v>
      </c>
      <c r="O76" s="166">
        <f>F76-'січень 17'!F76</f>
        <v>0</v>
      </c>
      <c r="P76" s="165">
        <f t="shared" si="22"/>
        <v>-1</v>
      </c>
      <c r="Q76" s="165">
        <f>O76/N76*100</f>
        <v>0</v>
      </c>
      <c r="R76" s="37"/>
      <c r="S76" s="134"/>
      <c r="T76" s="145">
        <f t="shared" si="23"/>
        <v>10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2032</v>
      </c>
      <c r="F77" s="182">
        <f>F73+F74+F75+F76</f>
        <v>102.86</v>
      </c>
      <c r="G77" s="183">
        <f t="shared" si="19"/>
        <v>-1929.14</v>
      </c>
      <c r="H77" s="184">
        <f>F77/E77*100</f>
        <v>5.062007874015748</v>
      </c>
      <c r="I77" s="185">
        <f t="shared" si="20"/>
        <v>-21909.14</v>
      </c>
      <c r="J77" s="185">
        <f>F77/D77*100</f>
        <v>0.4672905687806651</v>
      </c>
      <c r="K77" s="185">
        <v>1025.62</v>
      </c>
      <c r="L77" s="185">
        <f t="shared" si="21"/>
        <v>-922.7599999999999</v>
      </c>
      <c r="M77" s="212">
        <f>F77/K77</f>
        <v>0.10029055595639712</v>
      </c>
      <c r="N77" s="183">
        <f>N73+N74+N75+N76</f>
        <v>1031</v>
      </c>
      <c r="O77" s="187">
        <f>O73+O74+O75+O76</f>
        <v>9.799999999999999</v>
      </c>
      <c r="P77" s="185">
        <f t="shared" si="22"/>
        <v>-1021.2</v>
      </c>
      <c r="Q77" s="185">
        <f>O77/N77*100</f>
        <v>0.9505334626576138</v>
      </c>
      <c r="R77" s="38"/>
      <c r="S77" s="115"/>
      <c r="T77" s="145">
        <f t="shared" si="23"/>
        <v>19980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 t="shared" si="19"/>
        <v>0.34</v>
      </c>
      <c r="H78" s="162"/>
      <c r="I78" s="165">
        <f t="shared" si="20"/>
        <v>-39.66</v>
      </c>
      <c r="J78" s="165"/>
      <c r="K78" s="165">
        <v>0.01</v>
      </c>
      <c r="L78" s="165">
        <f t="shared" si="21"/>
        <v>0.33</v>
      </c>
      <c r="M78" s="207">
        <f>F78/K78</f>
        <v>34</v>
      </c>
      <c r="N78" s="162">
        <f>E78-'січень 17'!E78</f>
        <v>0</v>
      </c>
      <c r="O78" s="166">
        <f>F78-'січень 17'!F78</f>
        <v>0</v>
      </c>
      <c r="P78" s="165">
        <f t="shared" si="22"/>
        <v>0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>
        <f>E79-'січень 17'!E79</f>
        <v>0</v>
      </c>
      <c r="O79" s="166">
        <f>F79-'січень 17'!F79</f>
        <v>0</v>
      </c>
      <c r="P79" s="165">
        <f t="shared" si="22"/>
        <v>0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2350</v>
      </c>
      <c r="F80" s="179">
        <v>12.06</v>
      </c>
      <c r="G80" s="160">
        <f t="shared" si="19"/>
        <v>-2337.94</v>
      </c>
      <c r="H80" s="162">
        <f>F80/E80*100</f>
        <v>0.5131914893617021</v>
      </c>
      <c r="I80" s="165">
        <f t="shared" si="20"/>
        <v>-8347.94</v>
      </c>
      <c r="J80" s="165">
        <f>F80/D80*100</f>
        <v>0.14425837320574164</v>
      </c>
      <c r="K80" s="165">
        <v>2013.66</v>
      </c>
      <c r="L80" s="165">
        <f t="shared" si="21"/>
        <v>-2001.6000000000001</v>
      </c>
      <c r="M80" s="207"/>
      <c r="N80" s="162">
        <f>E80-'січень 17'!E80</f>
        <v>2342.5</v>
      </c>
      <c r="O80" s="166">
        <f>F80-'січень 17'!F80</f>
        <v>0.5800000000000001</v>
      </c>
      <c r="P80" s="165">
        <f>O80-N80</f>
        <v>-2341.92</v>
      </c>
      <c r="Q80" s="188">
        <f>O80/N80*100</f>
        <v>0.024759871931696906</v>
      </c>
      <c r="R80" s="40"/>
      <c r="S80" s="98"/>
      <c r="T80" s="145">
        <f t="shared" si="23"/>
        <v>6010</v>
      </c>
    </row>
    <row r="81" spans="2:20" ht="31.5" hidden="1">
      <c r="B81" s="233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7">
        <f aca="true" t="shared" si="24" ref="M81:M86">F81/K81</f>
        <v>0</v>
      </c>
      <c r="N81" s="162">
        <f>E81-'січень 17'!E81</f>
        <v>0</v>
      </c>
      <c r="O81" s="166">
        <f>F81-'січень 17'!F81</f>
        <v>0</v>
      </c>
      <c r="P81" s="165">
        <f t="shared" si="22"/>
        <v>0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2350</v>
      </c>
      <c r="F82" s="182">
        <f>F78+F81+F79+F80</f>
        <v>12.4</v>
      </c>
      <c r="G82" s="181">
        <f>G78+G81+G79+G80</f>
        <v>-2337.6</v>
      </c>
      <c r="H82" s="184">
        <f>F82/E82*100</f>
        <v>0.5276595744680851</v>
      </c>
      <c r="I82" s="185">
        <f t="shared" si="20"/>
        <v>-8387.6</v>
      </c>
      <c r="J82" s="185">
        <f>F82/D82*100</f>
        <v>0.14761904761904762</v>
      </c>
      <c r="K82" s="185">
        <v>2013.84</v>
      </c>
      <c r="L82" s="185">
        <f t="shared" si="21"/>
        <v>-2001.4399999999998</v>
      </c>
      <c r="M82" s="218">
        <f t="shared" si="24"/>
        <v>0.006157390855281453</v>
      </c>
      <c r="N82" s="183">
        <f>N78+N81+N79+N80</f>
        <v>2342.5</v>
      </c>
      <c r="O82" s="187">
        <f>O78+O81+O79+O80</f>
        <v>0.5800000000000001</v>
      </c>
      <c r="P82" s="183">
        <f>P78+P81+P79+P80</f>
        <v>-2341.92</v>
      </c>
      <c r="Q82" s="185">
        <f>O82/N82*100</f>
        <v>0.024759871931696906</v>
      </c>
      <c r="R82" s="38"/>
      <c r="S82" s="95"/>
      <c r="T82" s="145">
        <f t="shared" si="23"/>
        <v>6050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4.9</v>
      </c>
      <c r="F83" s="179">
        <v>0.34</v>
      </c>
      <c r="G83" s="160">
        <f t="shared" si="19"/>
        <v>-4.5600000000000005</v>
      </c>
      <c r="H83" s="162">
        <f>F83/E83*100</f>
        <v>6.938775510204081</v>
      </c>
      <c r="I83" s="165">
        <f t="shared" si="20"/>
        <v>-37.66</v>
      </c>
      <c r="J83" s="165">
        <f>F83/D83*100</f>
        <v>0.8947368421052633</v>
      </c>
      <c r="K83" s="165">
        <v>0.69</v>
      </c>
      <c r="L83" s="165">
        <f t="shared" si="21"/>
        <v>-0.3499999999999999</v>
      </c>
      <c r="M83" s="207">
        <f t="shared" si="24"/>
        <v>0.4927536231884059</v>
      </c>
      <c r="N83" s="162">
        <f>E83-'січень 17'!E83</f>
        <v>2.5000000000000004</v>
      </c>
      <c r="O83" s="166">
        <f>F83-'січень 17'!F83</f>
        <v>0</v>
      </c>
      <c r="P83" s="165">
        <f t="shared" si="22"/>
        <v>-2.5000000000000004</v>
      </c>
      <c r="Q83" s="165">
        <f>O83/N83</f>
        <v>0</v>
      </c>
      <c r="R83" s="37"/>
      <c r="S83" s="96"/>
      <c r="T83" s="145">
        <f t="shared" si="23"/>
        <v>33.1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11.81</v>
      </c>
      <c r="G84" s="160">
        <f t="shared" si="19"/>
        <v>11.81</v>
      </c>
      <c r="H84" s="162"/>
      <c r="I84" s="165">
        <f t="shared" si="20"/>
        <v>11.81</v>
      </c>
      <c r="J84" s="165"/>
      <c r="K84" s="165">
        <v>0</v>
      </c>
      <c r="L84" s="165">
        <f t="shared" si="21"/>
        <v>11.81</v>
      </c>
      <c r="M84" s="165"/>
      <c r="N84" s="162">
        <f>E84-'січень 17'!E84</f>
        <v>0</v>
      </c>
      <c r="O84" s="166">
        <f>F84-'січень 17'!F84</f>
        <v>0</v>
      </c>
      <c r="P84" s="165">
        <f t="shared" si="22"/>
        <v>0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30450</v>
      </c>
      <c r="E85" s="189">
        <f>E71+E83+E77+E82+E84</f>
        <v>4386.9</v>
      </c>
      <c r="F85" s="189">
        <f>F71+F83+F77+F82+F84</f>
        <v>127.42</v>
      </c>
      <c r="G85" s="190">
        <f>F85-E85</f>
        <v>-4259.48</v>
      </c>
      <c r="H85" s="191">
        <f>F85/E85*100</f>
        <v>2.90455674850122</v>
      </c>
      <c r="I85" s="192">
        <f>F85-D85</f>
        <v>-30322.58</v>
      </c>
      <c r="J85" s="192">
        <f>F85/D85*100</f>
        <v>0.4184564860426929</v>
      </c>
      <c r="K85" s="192">
        <v>3039.87</v>
      </c>
      <c r="L85" s="192">
        <f>F85-K85</f>
        <v>-2912.45</v>
      </c>
      <c r="M85" s="219">
        <f t="shared" si="24"/>
        <v>0.04191626615611852</v>
      </c>
      <c r="N85" s="189">
        <f>N71+N83+N77+N82+N84</f>
        <v>3376</v>
      </c>
      <c r="O85" s="189">
        <f>O71+O83+O77+O82+O84</f>
        <v>10.379999999999999</v>
      </c>
      <c r="P85" s="192">
        <f t="shared" si="22"/>
        <v>-3365.62</v>
      </c>
      <c r="Q85" s="192">
        <f>O85/N85*100</f>
        <v>0.3074644549763033</v>
      </c>
      <c r="R85" s="26">
        <f>O85-8104.96</f>
        <v>-8094.58</v>
      </c>
      <c r="S85" s="94">
        <f>O85/8104.96</f>
        <v>0.0012806972520530637</v>
      </c>
      <c r="T85" s="145">
        <f t="shared" si="23"/>
        <v>26063.1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208409</v>
      </c>
      <c r="F86" s="189">
        <f>F64+F85</f>
        <v>104428.98000000001</v>
      </c>
      <c r="G86" s="190">
        <f>F86-E86</f>
        <v>-103980.01999999999</v>
      </c>
      <c r="H86" s="191">
        <f>F86/E86*100</f>
        <v>50.10771127926338</v>
      </c>
      <c r="I86" s="192">
        <f>F86-D86</f>
        <v>-1283512.12</v>
      </c>
      <c r="J86" s="192">
        <f>F86/D86*100</f>
        <v>7.524021012130847</v>
      </c>
      <c r="K86" s="192">
        <f>K64+K85</f>
        <v>148383.13</v>
      </c>
      <c r="L86" s="192">
        <f>F86-K86</f>
        <v>-43954.149999999994</v>
      </c>
      <c r="M86" s="219">
        <f t="shared" si="24"/>
        <v>0.7037793312487748</v>
      </c>
      <c r="N86" s="190">
        <f>N64+N85</f>
        <v>110041.6</v>
      </c>
      <c r="O86" s="190">
        <f>O64+O85</f>
        <v>6225.749999999995</v>
      </c>
      <c r="P86" s="192">
        <f t="shared" si="22"/>
        <v>-103815.85</v>
      </c>
      <c r="Q86" s="192">
        <f>O86/N86*100</f>
        <v>5.657633113295331</v>
      </c>
      <c r="R86" s="26">
        <f>O86-42872.96</f>
        <v>-36647.21000000001</v>
      </c>
      <c r="S86" s="94">
        <f>O86/42872.96</f>
        <v>0.14521390638761578</v>
      </c>
      <c r="T86" s="145">
        <f t="shared" si="23"/>
        <v>1179532.1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18</v>
      </c>
      <c r="D88" s="4" t="s">
        <v>35</v>
      </c>
      <c r="O88" s="77"/>
      <c r="T88" s="145" t="e">
        <f t="shared" si="23"/>
        <v>#VALUE!</v>
      </c>
    </row>
    <row r="89" spans="2:20" ht="30.75">
      <c r="B89" s="51" t="s">
        <v>53</v>
      </c>
      <c r="C89" s="28">
        <f>IF(P64&lt;0,ABS(P64/C88),0)</f>
        <v>5580.568333333334</v>
      </c>
      <c r="D89" s="4" t="s">
        <v>24</v>
      </c>
      <c r="G89" s="251"/>
      <c r="H89" s="251"/>
      <c r="I89" s="251"/>
      <c r="J89" s="251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42768</v>
      </c>
      <c r="D90" s="28">
        <v>2135.7</v>
      </c>
      <c r="G90" s="4" t="s">
        <v>58</v>
      </c>
      <c r="O90" s="243"/>
      <c r="P90" s="243"/>
      <c r="T90" s="145">
        <f t="shared" si="23"/>
        <v>2135.7</v>
      </c>
    </row>
    <row r="91" spans="3:16" ht="15">
      <c r="C91" s="80">
        <v>42767</v>
      </c>
      <c r="D91" s="28">
        <v>4080.1</v>
      </c>
      <c r="F91" s="112" t="s">
        <v>58</v>
      </c>
      <c r="G91" s="237"/>
      <c r="H91" s="237"/>
      <c r="I91" s="117"/>
      <c r="J91" s="240"/>
      <c r="K91" s="240"/>
      <c r="L91" s="240"/>
      <c r="M91" s="240"/>
      <c r="N91" s="240"/>
      <c r="O91" s="243"/>
      <c r="P91" s="243"/>
    </row>
    <row r="92" spans="3:16" ht="15.75" customHeight="1">
      <c r="C92" s="80">
        <v>42766</v>
      </c>
      <c r="D92" s="28">
        <v>9271.6</v>
      </c>
      <c r="F92" s="67"/>
      <c r="G92" s="237"/>
      <c r="H92" s="237"/>
      <c r="I92" s="117"/>
      <c r="J92" s="244"/>
      <c r="K92" s="244"/>
      <c r="L92" s="244"/>
      <c r="M92" s="244"/>
      <c r="N92" s="244"/>
      <c r="O92" s="243"/>
      <c r="P92" s="243"/>
    </row>
    <row r="93" spans="3:14" ht="15.75" customHeight="1">
      <c r="C93" s="80"/>
      <c r="F93" s="67"/>
      <c r="G93" s="239"/>
      <c r="H93" s="239"/>
      <c r="I93" s="123"/>
      <c r="J93" s="240"/>
      <c r="K93" s="240"/>
      <c r="L93" s="240"/>
      <c r="M93" s="240"/>
      <c r="N93" s="240"/>
    </row>
    <row r="94" spans="2:14" ht="18.75" customHeight="1">
      <c r="B94" s="241" t="s">
        <v>56</v>
      </c>
      <c r="C94" s="242"/>
      <c r="D94" s="132">
        <v>9.80861</v>
      </c>
      <c r="E94" s="68"/>
      <c r="F94" s="124" t="s">
        <v>105</v>
      </c>
      <c r="G94" s="237"/>
      <c r="H94" s="237"/>
      <c r="I94" s="125"/>
      <c r="J94" s="240"/>
      <c r="K94" s="240"/>
      <c r="L94" s="240"/>
      <c r="M94" s="240"/>
      <c r="N94" s="240"/>
    </row>
    <row r="95" spans="6:13" ht="9.75" customHeight="1">
      <c r="F95" s="67"/>
      <c r="G95" s="237"/>
      <c r="H95" s="237"/>
      <c r="I95" s="67"/>
      <c r="J95" s="68"/>
      <c r="K95" s="68"/>
      <c r="L95" s="68"/>
      <c r="M95" s="68"/>
    </row>
    <row r="96" spans="2:13" ht="22.5" customHeight="1" hidden="1">
      <c r="B96" s="235" t="s">
        <v>59</v>
      </c>
      <c r="C96" s="236"/>
      <c r="D96" s="79">
        <v>0</v>
      </c>
      <c r="E96" s="50" t="s">
        <v>24</v>
      </c>
      <c r="F96" s="67"/>
      <c r="G96" s="237"/>
      <c r="H96" s="237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172</v>
      </c>
      <c r="F97" s="201">
        <f>F45+F48+F49</f>
        <v>149.91</v>
      </c>
      <c r="G97" s="67">
        <f>G45+G48+G49</f>
        <v>-22.090000000000003</v>
      </c>
      <c r="H97" s="68"/>
      <c r="I97" s="68"/>
      <c r="N97" s="28">
        <f>N45+N48+N49</f>
        <v>86</v>
      </c>
      <c r="O97" s="200">
        <f>O45+O48+O49</f>
        <v>15.929999999999993</v>
      </c>
      <c r="P97" s="28">
        <f>P45+P48+P49</f>
        <v>-70.07000000000001</v>
      </c>
    </row>
    <row r="98" spans="4:16" ht="15" hidden="1">
      <c r="D98" s="77"/>
      <c r="I98" s="28"/>
      <c r="O98" s="238"/>
      <c r="P98" s="238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196330.5</v>
      </c>
      <c r="F99" s="227">
        <f>F9+F15+F17+F18+F19+F20+F39+F42+F56+F62+F63</f>
        <v>97794.94</v>
      </c>
      <c r="G99" s="28">
        <f>F99-E99</f>
        <v>-98535.56</v>
      </c>
      <c r="H99" s="228">
        <f>F99/E99</f>
        <v>0.4981138437481695</v>
      </c>
      <c r="I99" s="28">
        <f>F99-D99</f>
        <v>-1201253.6600000001</v>
      </c>
      <c r="J99" s="228">
        <f>F99/D99</f>
        <v>0.07528197174455213</v>
      </c>
      <c r="N99" s="28">
        <f>N9+N15+N17+N18+N19+N20+N39+N42+N44+N56+N62+N63</f>
        <v>101968.6</v>
      </c>
      <c r="O99" s="227">
        <f>O9+O15+O17+O18+O19+O20+O39+O42+O44+O56+O62+O63</f>
        <v>3926.6299999999956</v>
      </c>
      <c r="P99" s="28">
        <f>O99-N99</f>
        <v>-98041.97000000002</v>
      </c>
      <c r="Q99" s="228">
        <f>O99/N99</f>
        <v>0.03850822704244243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7691.6</v>
      </c>
      <c r="F100" s="227">
        <f>F40+F41+F43+F45+F47+F48+F49+F50+F51+F57+F61+F44</f>
        <v>6506.62</v>
      </c>
      <c r="G100" s="28">
        <f>G40+G41+G43+G45+G47+G48+G49+G50+G51+G57+G61+G44</f>
        <v>-1184.9799999999998</v>
      </c>
      <c r="H100" s="228">
        <f>F100/E100</f>
        <v>0.8459384263352228</v>
      </c>
      <c r="I100" s="28">
        <f>I40+I41+I43+I45+I47+I48+I49+I50+I51+I57+I61+I44</f>
        <v>-51935.880000000005</v>
      </c>
      <c r="J100" s="228">
        <f>F100/D100</f>
        <v>0.11133370406810113</v>
      </c>
      <c r="K100" s="28">
        <f aca="true" t="shared" si="25" ref="K100:P100">K40+K41+K43+K45+K47+K48+K49+K50+K51+K57+K61+K44</f>
        <v>4835.679999999999</v>
      </c>
      <c r="L100" s="28">
        <f t="shared" si="25"/>
        <v>1670.9400000000007</v>
      </c>
      <c r="M100" s="28">
        <f t="shared" si="25"/>
        <v>9.917995139873296</v>
      </c>
      <c r="N100" s="28">
        <f t="shared" si="25"/>
        <v>4703.8</v>
      </c>
      <c r="O100" s="227">
        <f t="shared" si="25"/>
        <v>2288.7400000000002</v>
      </c>
      <c r="P100" s="28">
        <f t="shared" si="25"/>
        <v>-2408.2599999999993</v>
      </c>
      <c r="Q100" s="228">
        <f>O100/N100</f>
        <v>0.486572558357073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204022.1</v>
      </c>
      <c r="F101" s="227">
        <f t="shared" si="26"/>
        <v>104301.56</v>
      </c>
      <c r="G101" s="28">
        <f t="shared" si="26"/>
        <v>-99720.54</v>
      </c>
      <c r="H101" s="228">
        <f>F101/E101</f>
        <v>0.5112267739622325</v>
      </c>
      <c r="I101" s="28">
        <f t="shared" si="26"/>
        <v>-1253189.54</v>
      </c>
      <c r="J101" s="228">
        <f>F101/D101</f>
        <v>0.07683406543144186</v>
      </c>
      <c r="K101" s="28">
        <f t="shared" si="26"/>
        <v>4835.679999999999</v>
      </c>
      <c r="L101" s="28">
        <f t="shared" si="26"/>
        <v>1670.9400000000007</v>
      </c>
      <c r="M101" s="28">
        <f t="shared" si="26"/>
        <v>9.917995139873296</v>
      </c>
      <c r="N101" s="28">
        <f t="shared" si="26"/>
        <v>106672.40000000001</v>
      </c>
      <c r="O101" s="227">
        <f t="shared" si="26"/>
        <v>6215.369999999995</v>
      </c>
      <c r="P101" s="28">
        <f t="shared" si="26"/>
        <v>-100450.23000000001</v>
      </c>
      <c r="Q101" s="228">
        <f>O101/N101</f>
        <v>0.05826596195454489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0</v>
      </c>
      <c r="H102" s="228"/>
      <c r="I102" s="28">
        <f t="shared" si="27"/>
        <v>0</v>
      </c>
      <c r="J102" s="228"/>
      <c r="K102" s="28">
        <f t="shared" si="27"/>
        <v>140507.58000000002</v>
      </c>
      <c r="L102" s="28">
        <f t="shared" si="27"/>
        <v>-42712.64</v>
      </c>
      <c r="M102" s="28">
        <f t="shared" si="27"/>
        <v>-9.200372871045694</v>
      </c>
      <c r="N102" s="28">
        <f t="shared" si="27"/>
        <v>-6.80000000000291</v>
      </c>
      <c r="O102" s="28">
        <f t="shared" si="27"/>
        <v>0</v>
      </c>
      <c r="P102" s="28">
        <f t="shared" si="27"/>
        <v>0</v>
      </c>
      <c r="Q102" s="28"/>
      <c r="R102" s="28">
        <f t="shared" si="27"/>
        <v>-28552.630000000005</v>
      </c>
      <c r="S102" s="28">
        <f t="shared" si="27"/>
        <v>0.1787669696272433</v>
      </c>
      <c r="T102" s="28">
        <f t="shared" si="27"/>
        <v>1153469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81" zoomScaleNormal="81" zoomScalePageLayoutView="0" workbookViewId="0" topLeftCell="B1">
      <pane xSplit="2" ySplit="8" topLeftCell="D8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103" sqref="F10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258" t="s">
        <v>131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85"/>
      <c r="S1" s="86"/>
    </row>
    <row r="2" spans="2:19" s="1" customFormat="1" ht="15.75" customHeight="1">
      <c r="B2" s="259"/>
      <c r="C2" s="259"/>
      <c r="D2" s="259"/>
      <c r="E2" s="2"/>
      <c r="F2" s="111"/>
      <c r="G2" s="2"/>
      <c r="H2" s="2"/>
      <c r="I2" s="1" t="s">
        <v>127</v>
      </c>
      <c r="M2" s="1" t="s">
        <v>24</v>
      </c>
      <c r="Q2" s="17" t="s">
        <v>24</v>
      </c>
      <c r="R2" s="17"/>
      <c r="S2" s="87"/>
    </row>
    <row r="3" spans="1:19" s="3" customFormat="1" ht="13.5" customHeight="1">
      <c r="A3" s="260"/>
      <c r="B3" s="262"/>
      <c r="C3" s="263" t="s">
        <v>0</v>
      </c>
      <c r="D3" s="264" t="s">
        <v>121</v>
      </c>
      <c r="E3" s="31"/>
      <c r="F3" s="265" t="s">
        <v>26</v>
      </c>
      <c r="G3" s="266"/>
      <c r="H3" s="266"/>
      <c r="I3" s="266"/>
      <c r="J3" s="267"/>
      <c r="K3" s="82"/>
      <c r="L3" s="82"/>
      <c r="M3" s="82"/>
      <c r="N3" s="268" t="s">
        <v>119</v>
      </c>
      <c r="O3" s="269" t="s">
        <v>115</v>
      </c>
      <c r="P3" s="269"/>
      <c r="Q3" s="269"/>
      <c r="R3" s="269"/>
      <c r="S3" s="269"/>
    </row>
    <row r="4" spans="1:19" ht="22.5" customHeight="1">
      <c r="A4" s="260"/>
      <c r="B4" s="262"/>
      <c r="C4" s="263"/>
      <c r="D4" s="264"/>
      <c r="E4" s="270" t="s">
        <v>122</v>
      </c>
      <c r="F4" s="252" t="s">
        <v>33</v>
      </c>
      <c r="G4" s="245" t="s">
        <v>123</v>
      </c>
      <c r="H4" s="254" t="s">
        <v>124</v>
      </c>
      <c r="I4" s="245" t="s">
        <v>125</v>
      </c>
      <c r="J4" s="254" t="s">
        <v>126</v>
      </c>
      <c r="K4" s="84" t="s">
        <v>128</v>
      </c>
      <c r="L4" s="202" t="s">
        <v>111</v>
      </c>
      <c r="M4" s="89" t="s">
        <v>63</v>
      </c>
      <c r="N4" s="254"/>
      <c r="O4" s="256" t="s">
        <v>120</v>
      </c>
      <c r="P4" s="245" t="s">
        <v>49</v>
      </c>
      <c r="Q4" s="247" t="s">
        <v>48</v>
      </c>
      <c r="R4" s="90" t="s">
        <v>64</v>
      </c>
      <c r="S4" s="91" t="s">
        <v>63</v>
      </c>
    </row>
    <row r="5" spans="1:19" ht="67.5" customHeight="1">
      <c r="A5" s="261"/>
      <c r="B5" s="262"/>
      <c r="C5" s="263"/>
      <c r="D5" s="264"/>
      <c r="E5" s="271"/>
      <c r="F5" s="253"/>
      <c r="G5" s="246"/>
      <c r="H5" s="255"/>
      <c r="I5" s="246"/>
      <c r="J5" s="255"/>
      <c r="K5" s="248" t="s">
        <v>129</v>
      </c>
      <c r="L5" s="249"/>
      <c r="M5" s="250"/>
      <c r="N5" s="255"/>
      <c r="O5" s="257"/>
      <c r="P5" s="246"/>
      <c r="Q5" s="247"/>
      <c r="R5" s="248" t="s">
        <v>102</v>
      </c>
      <c r="S5" s="250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94367.5</v>
      </c>
      <c r="F8" s="149">
        <f>F9+F15+F18+F19+F20+F37+F17</f>
        <v>93856.97</v>
      </c>
      <c r="G8" s="149">
        <f aca="true" t="shared" si="0" ref="G8:G37">F8-E8</f>
        <v>-510.52999999999884</v>
      </c>
      <c r="H8" s="150">
        <f>F8/E8*100</f>
        <v>99.45899806607147</v>
      </c>
      <c r="I8" s="151">
        <f>F8-D8</f>
        <v>-1204594.1300000001</v>
      </c>
      <c r="J8" s="151">
        <f>F8/D8*100</f>
        <v>7.228379258949374</v>
      </c>
      <c r="K8" s="149">
        <v>60580.63</v>
      </c>
      <c r="L8" s="149">
        <f aca="true" t="shared" si="1" ref="L8:L51">F8-K8</f>
        <v>33276.340000000004</v>
      </c>
      <c r="M8" s="203">
        <f aca="true" t="shared" si="2" ref="M8:M28">F8/K8</f>
        <v>1.5492900948702581</v>
      </c>
      <c r="N8" s="149" t="e">
        <f>N9+N15+N18+N19+N20+N17</f>
        <v>#REF!</v>
      </c>
      <c r="O8" s="149" t="e">
        <f>O9+O15+O18+O19+O20+O17</f>
        <v>#REF!</v>
      </c>
      <c r="P8" s="149" t="e">
        <f>O8-N8</f>
        <v>#REF!</v>
      </c>
      <c r="Q8" s="149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47700</v>
      </c>
      <c r="F9" s="154">
        <v>46924.93</v>
      </c>
      <c r="G9" s="148">
        <f t="shared" si="0"/>
        <v>-775.0699999999997</v>
      </c>
      <c r="H9" s="155">
        <f>F9/E9*100</f>
        <v>98.37511530398324</v>
      </c>
      <c r="I9" s="156">
        <f>F9-D9</f>
        <v>-719720.07</v>
      </c>
      <c r="J9" s="156">
        <f>F9/D9*100</f>
        <v>6.120816023061521</v>
      </c>
      <c r="K9" s="225">
        <v>30213.27</v>
      </c>
      <c r="L9" s="157">
        <f t="shared" si="1"/>
        <v>16711.66</v>
      </c>
      <c r="M9" s="204">
        <f t="shared" si="2"/>
        <v>1.5531231806421484</v>
      </c>
      <c r="N9" s="155" t="e">
        <f>E9-#REF!</f>
        <v>#REF!</v>
      </c>
      <c r="O9" s="158" t="e">
        <f>F9-#REF!</f>
        <v>#REF!</v>
      </c>
      <c r="P9" s="159" t="e">
        <f>O9-N9</f>
        <v>#REF!</v>
      </c>
      <c r="Q9" s="156" t="e">
        <f>O9/N9*100</f>
        <v>#REF!</v>
      </c>
      <c r="R9" s="99"/>
      <c r="S9" s="100"/>
      <c r="T9" s="145">
        <f>D9-E9</f>
        <v>718945</v>
      </c>
    </row>
    <row r="10" spans="1:20" s="6" customFormat="1" ht="18" hidden="1">
      <c r="A10" s="8"/>
      <c r="B10" s="120" t="s">
        <v>89</v>
      </c>
      <c r="C10" s="101">
        <v>11010100</v>
      </c>
      <c r="D10" s="102">
        <v>701317</v>
      </c>
      <c r="E10" s="102">
        <v>43284</v>
      </c>
      <c r="F10" s="138">
        <v>43142.93</v>
      </c>
      <c r="G10" s="102">
        <f t="shared" si="0"/>
        <v>-141.0699999999997</v>
      </c>
      <c r="H10" s="29">
        <f aca="true" t="shared" si="3" ref="H10:H36">F10/E10*100</f>
        <v>99.67408280195914</v>
      </c>
      <c r="I10" s="103">
        <f aca="true" t="shared" si="4" ref="I10:I37">F10-D10</f>
        <v>-658174.07</v>
      </c>
      <c r="J10" s="103">
        <f aca="true" t="shared" si="5" ref="J10:J36">F10/D10*100</f>
        <v>6.15170172689383</v>
      </c>
      <c r="K10" s="105">
        <v>26883.84</v>
      </c>
      <c r="L10" s="105">
        <f t="shared" si="1"/>
        <v>16259.09</v>
      </c>
      <c r="M10" s="205">
        <f t="shared" si="2"/>
        <v>1.604790461481693</v>
      </c>
      <c r="N10" s="104" t="e">
        <f>E10-#REF!</f>
        <v>#REF!</v>
      </c>
      <c r="O10" s="142" t="e">
        <f>F10-#REF!</f>
        <v>#REF!</v>
      </c>
      <c r="P10" s="105" t="e">
        <f aca="true" t="shared" si="6" ref="P10:P37">O10-N10</f>
        <v>#REF!</v>
      </c>
      <c r="Q10" s="156" t="e">
        <f aca="true" t="shared" si="7" ref="Q10:Q16">O10/N10*100</f>
        <v>#REF!</v>
      </c>
      <c r="R10" s="36"/>
      <c r="S10" s="93"/>
      <c r="T10" s="145">
        <f aca="true" t="shared" si="8" ref="T10:T73">D10-E10</f>
        <v>658033</v>
      </c>
    </row>
    <row r="11" spans="1:20" s="6" customFormat="1" ht="18" hidden="1">
      <c r="A11" s="8"/>
      <c r="B11" s="120" t="s">
        <v>85</v>
      </c>
      <c r="C11" s="101">
        <v>11010200</v>
      </c>
      <c r="D11" s="102">
        <v>46506</v>
      </c>
      <c r="E11" s="102">
        <v>3600</v>
      </c>
      <c r="F11" s="138">
        <v>2681.7</v>
      </c>
      <c r="G11" s="102">
        <f t="shared" si="0"/>
        <v>-918.3000000000002</v>
      </c>
      <c r="H11" s="29">
        <f t="shared" si="3"/>
        <v>74.49166666666667</v>
      </c>
      <c r="I11" s="103">
        <f t="shared" si="4"/>
        <v>-43824.3</v>
      </c>
      <c r="J11" s="103">
        <f t="shared" si="5"/>
        <v>5.76635272868017</v>
      </c>
      <c r="K11" s="105">
        <v>2684.94</v>
      </c>
      <c r="L11" s="105">
        <f t="shared" si="1"/>
        <v>-3.2400000000002365</v>
      </c>
      <c r="M11" s="205">
        <f t="shared" si="2"/>
        <v>0.9987932691233323</v>
      </c>
      <c r="N11" s="104" t="e">
        <f>E11-#REF!</f>
        <v>#REF!</v>
      </c>
      <c r="O11" s="142" t="e">
        <f>F11-#REF!</f>
        <v>#REF!</v>
      </c>
      <c r="P11" s="105" t="e">
        <f t="shared" si="6"/>
        <v>#REF!</v>
      </c>
      <c r="Q11" s="156" t="e">
        <f t="shared" si="7"/>
        <v>#REF!</v>
      </c>
      <c r="R11" s="36"/>
      <c r="S11" s="93"/>
      <c r="T11" s="145">
        <f t="shared" si="8"/>
        <v>42906</v>
      </c>
    </row>
    <row r="12" spans="1:20" s="6" customFormat="1" ht="18" hidden="1">
      <c r="A12" s="8"/>
      <c r="B12" s="120" t="s">
        <v>88</v>
      </c>
      <c r="C12" s="101">
        <v>11010400</v>
      </c>
      <c r="D12" s="102">
        <v>8280</v>
      </c>
      <c r="E12" s="102">
        <v>420</v>
      </c>
      <c r="F12" s="138">
        <v>500.43</v>
      </c>
      <c r="G12" s="102">
        <f t="shared" si="0"/>
        <v>80.43</v>
      </c>
      <c r="H12" s="29">
        <f t="shared" si="3"/>
        <v>119.15</v>
      </c>
      <c r="I12" s="103">
        <f t="shared" si="4"/>
        <v>-7779.57</v>
      </c>
      <c r="J12" s="103">
        <f t="shared" si="5"/>
        <v>6.043840579710145</v>
      </c>
      <c r="K12" s="105">
        <v>433.61</v>
      </c>
      <c r="L12" s="105">
        <f t="shared" si="1"/>
        <v>66.82</v>
      </c>
      <c r="M12" s="205">
        <f t="shared" si="2"/>
        <v>1.1541016120476926</v>
      </c>
      <c r="N12" s="104" t="e">
        <f>E12-#REF!</f>
        <v>#REF!</v>
      </c>
      <c r="O12" s="142" t="e">
        <f>F12-#REF!</f>
        <v>#REF!</v>
      </c>
      <c r="P12" s="105" t="e">
        <f t="shared" si="6"/>
        <v>#REF!</v>
      </c>
      <c r="Q12" s="156" t="e">
        <f t="shared" si="7"/>
        <v>#REF!</v>
      </c>
      <c r="R12" s="36"/>
      <c r="S12" s="93"/>
      <c r="T12" s="145">
        <f t="shared" si="8"/>
        <v>7860</v>
      </c>
    </row>
    <row r="13" spans="1:20" s="6" customFormat="1" ht="18" hidden="1">
      <c r="A13" s="8"/>
      <c r="B13" s="120" t="s">
        <v>86</v>
      </c>
      <c r="C13" s="101">
        <v>11010500</v>
      </c>
      <c r="D13" s="102">
        <v>9390</v>
      </c>
      <c r="E13" s="102">
        <v>300</v>
      </c>
      <c r="F13" s="138">
        <v>499.36</v>
      </c>
      <c r="G13" s="102">
        <f t="shared" si="0"/>
        <v>199.36</v>
      </c>
      <c r="H13" s="29">
        <f t="shared" si="3"/>
        <v>166.45333333333335</v>
      </c>
      <c r="I13" s="103">
        <f t="shared" si="4"/>
        <v>-8890.64</v>
      </c>
      <c r="J13" s="103">
        <f t="shared" si="5"/>
        <v>5.317997870074548</v>
      </c>
      <c r="K13" s="105">
        <v>209.84</v>
      </c>
      <c r="L13" s="105">
        <f t="shared" si="1"/>
        <v>289.52</v>
      </c>
      <c r="M13" s="205">
        <f t="shared" si="2"/>
        <v>2.3797178802897445</v>
      </c>
      <c r="N13" s="104" t="e">
        <f>E13-#REF!</f>
        <v>#REF!</v>
      </c>
      <c r="O13" s="142" t="e">
        <f>F13-#REF!</f>
        <v>#REF!</v>
      </c>
      <c r="P13" s="105" t="e">
        <f t="shared" si="6"/>
        <v>#REF!</v>
      </c>
      <c r="Q13" s="156" t="e">
        <f t="shared" si="7"/>
        <v>#REF!</v>
      </c>
      <c r="R13" s="36"/>
      <c r="S13" s="93"/>
      <c r="T13" s="145">
        <f t="shared" si="8"/>
        <v>9090</v>
      </c>
    </row>
    <row r="14" spans="1:22" s="6" customFormat="1" ht="18" hidden="1">
      <c r="A14" s="8"/>
      <c r="B14" s="120" t="s">
        <v>87</v>
      </c>
      <c r="C14" s="101">
        <v>11010900</v>
      </c>
      <c r="D14" s="102">
        <v>1152</v>
      </c>
      <c r="E14" s="102">
        <v>96</v>
      </c>
      <c r="F14" s="138">
        <v>100.5</v>
      </c>
      <c r="G14" s="102">
        <f t="shared" si="0"/>
        <v>4.5</v>
      </c>
      <c r="H14" s="29">
        <f t="shared" si="3"/>
        <v>104.6875</v>
      </c>
      <c r="I14" s="103">
        <f t="shared" si="4"/>
        <v>-1051.5</v>
      </c>
      <c r="J14" s="103">
        <f t="shared" si="5"/>
        <v>8.723958333333332</v>
      </c>
      <c r="K14" s="105">
        <v>1.04</v>
      </c>
      <c r="L14" s="105">
        <f t="shared" si="1"/>
        <v>99.46</v>
      </c>
      <c r="M14" s="205">
        <f t="shared" si="2"/>
        <v>96.63461538461539</v>
      </c>
      <c r="N14" s="104" t="e">
        <f>E14-#REF!</f>
        <v>#REF!</v>
      </c>
      <c r="O14" s="142" t="e">
        <f>F14-#REF!</f>
        <v>#REF!</v>
      </c>
      <c r="P14" s="105" t="e">
        <f t="shared" si="6"/>
        <v>#REF!</v>
      </c>
      <c r="Q14" s="156" t="e">
        <f t="shared" si="7"/>
        <v>#REF!</v>
      </c>
      <c r="R14" s="36"/>
      <c r="S14" s="93"/>
      <c r="T14" s="145">
        <f t="shared" si="8"/>
        <v>1056</v>
      </c>
      <c r="U14" s="222">
        <v>2880</v>
      </c>
      <c r="V14" s="145">
        <f>U14-T14</f>
        <v>1824</v>
      </c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0</v>
      </c>
      <c r="F15" s="154">
        <v>0</v>
      </c>
      <c r="G15" s="148">
        <f t="shared" si="0"/>
        <v>0</v>
      </c>
      <c r="H15" s="155"/>
      <c r="I15" s="156">
        <f t="shared" si="4"/>
        <v>-551</v>
      </c>
      <c r="J15" s="156">
        <f t="shared" si="5"/>
        <v>0</v>
      </c>
      <c r="K15" s="159">
        <v>0</v>
      </c>
      <c r="L15" s="159">
        <f t="shared" si="1"/>
        <v>0</v>
      </c>
      <c r="M15" s="206"/>
      <c r="N15" s="155" t="e">
        <f>E15-#REF!</f>
        <v>#REF!</v>
      </c>
      <c r="O15" s="158" t="e">
        <f>F15-#REF!</f>
        <v>#REF!</v>
      </c>
      <c r="P15" s="159" t="e">
        <f t="shared" si="6"/>
        <v>#REF!</v>
      </c>
      <c r="Q15" s="156" t="e">
        <f t="shared" si="7"/>
        <v>#REF!</v>
      </c>
      <c r="R15" s="36"/>
      <c r="S15" s="93"/>
      <c r="T15" s="145">
        <f t="shared" si="8"/>
        <v>551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29"/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/>
      <c r="N16" s="155" t="e">
        <f>E16-#REF!</f>
        <v>#REF!</v>
      </c>
      <c r="O16" s="158" t="e">
        <f>F16-#REF!</f>
        <v>#REF!</v>
      </c>
      <c r="P16" s="35" t="e">
        <f t="shared" si="6"/>
        <v>#REF!</v>
      </c>
      <c r="Q16" s="156" t="e">
        <f t="shared" si="7"/>
        <v>#REF!</v>
      </c>
      <c r="R16" s="103" t="e">
        <f>O16-358.81</f>
        <v>#REF!</v>
      </c>
      <c r="S16" s="108" t="e">
        <f>O16/358.79</f>
        <v>#REF!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62"/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/>
      <c r="N17" s="155" t="e">
        <f>E17-#REF!</f>
        <v>#REF!</v>
      </c>
      <c r="O17" s="158" t="e">
        <f>F17-#REF!</f>
        <v>#REF!</v>
      </c>
      <c r="P17" s="165" t="e">
        <f t="shared" si="6"/>
        <v>#REF!</v>
      </c>
      <c r="Q17" s="156"/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0</v>
      </c>
      <c r="F18" s="154">
        <v>0</v>
      </c>
      <c r="G18" s="148">
        <f t="shared" si="0"/>
        <v>0</v>
      </c>
      <c r="H18" s="155"/>
      <c r="I18" s="156">
        <f t="shared" si="4"/>
        <v>-125</v>
      </c>
      <c r="J18" s="156">
        <f t="shared" si="5"/>
        <v>0</v>
      </c>
      <c r="K18" s="159">
        <v>0</v>
      </c>
      <c r="L18" s="159">
        <f t="shared" si="1"/>
        <v>0</v>
      </c>
      <c r="M18" s="206"/>
      <c r="N18" s="155" t="e">
        <f>E18-#REF!</f>
        <v>#REF!</v>
      </c>
      <c r="O18" s="158" t="e">
        <f>F18-#REF!</f>
        <v>#REF!</v>
      </c>
      <c r="P18" s="159" t="e">
        <f t="shared" si="6"/>
        <v>#REF!</v>
      </c>
      <c r="Q18" s="156"/>
      <c r="R18" s="36"/>
      <c r="S18" s="93"/>
      <c r="T18" s="145">
        <f t="shared" si="8"/>
        <v>125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f>8500+1200</f>
        <v>9700</v>
      </c>
      <c r="F19" s="154">
        <v>9751.75</v>
      </c>
      <c r="G19" s="148">
        <f t="shared" si="0"/>
        <v>51.75</v>
      </c>
      <c r="H19" s="155">
        <f t="shared" si="3"/>
        <v>100.53350515463917</v>
      </c>
      <c r="I19" s="156">
        <f t="shared" si="4"/>
        <v>-120248.25</v>
      </c>
      <c r="J19" s="156">
        <f t="shared" si="5"/>
        <v>7.501346153846154</v>
      </c>
      <c r="K19" s="167">
        <v>5560</v>
      </c>
      <c r="L19" s="159">
        <f t="shared" si="1"/>
        <v>4191.75</v>
      </c>
      <c r="M19" s="211">
        <f t="shared" si="2"/>
        <v>1.7539118705035972</v>
      </c>
      <c r="N19" s="155" t="e">
        <f>E19-#REF!</f>
        <v>#REF!</v>
      </c>
      <c r="O19" s="158" t="e">
        <f>F19-#REF!</f>
        <v>#REF!</v>
      </c>
      <c r="P19" s="159" t="e">
        <f t="shared" si="6"/>
        <v>#REF!</v>
      </c>
      <c r="Q19" s="156" t="e">
        <f aca="true" t="shared" si="9" ref="Q19:Q24">O19/N19*100</f>
        <v>#REF!</v>
      </c>
      <c r="R19" s="106"/>
      <c r="S19" s="107"/>
      <c r="T19" s="145">
        <f t="shared" si="8"/>
        <v>120300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36967.5</v>
      </c>
      <c r="F20" s="221">
        <f>F21+F29+F30+F31+F32</f>
        <v>37180.29</v>
      </c>
      <c r="G20" s="148">
        <f t="shared" si="0"/>
        <v>212.79000000000087</v>
      </c>
      <c r="H20" s="155">
        <f t="shared" si="3"/>
        <v>100.57561371474944</v>
      </c>
      <c r="I20" s="156">
        <f t="shared" si="4"/>
        <v>-363949.81</v>
      </c>
      <c r="J20" s="156">
        <f t="shared" si="5"/>
        <v>9.268885581012245</v>
      </c>
      <c r="K20" s="156">
        <v>24797.05</v>
      </c>
      <c r="L20" s="159">
        <f t="shared" si="1"/>
        <v>12383.240000000002</v>
      </c>
      <c r="M20" s="207">
        <f t="shared" si="2"/>
        <v>1.4993835960325927</v>
      </c>
      <c r="N20" s="155" t="e">
        <f>N21+N30+N31+N32</f>
        <v>#REF!</v>
      </c>
      <c r="O20" s="158" t="e">
        <f>F20-#REF!</f>
        <v>#REF!</v>
      </c>
      <c r="P20" s="159" t="e">
        <f t="shared" si="6"/>
        <v>#REF!</v>
      </c>
      <c r="Q20" s="156" t="e">
        <f t="shared" si="9"/>
        <v>#REF!</v>
      </c>
      <c r="R20" s="106"/>
      <c r="S20" s="107"/>
      <c r="T20" s="145">
        <f t="shared" si="8"/>
        <v>364162.6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16745.8</v>
      </c>
      <c r="F21" s="168">
        <f>F22+F25+F26</f>
        <v>16520.28</v>
      </c>
      <c r="G21" s="148">
        <f t="shared" si="0"/>
        <v>-225.52000000000044</v>
      </c>
      <c r="H21" s="155">
        <f t="shared" si="3"/>
        <v>98.65327425384275</v>
      </c>
      <c r="I21" s="156">
        <f t="shared" si="4"/>
        <v>-190100.72</v>
      </c>
      <c r="J21" s="156">
        <f t="shared" si="5"/>
        <v>7.995450607634267</v>
      </c>
      <c r="K21" s="156">
        <v>11899.3</v>
      </c>
      <c r="L21" s="159">
        <f t="shared" si="1"/>
        <v>4620.98</v>
      </c>
      <c r="M21" s="207">
        <f t="shared" si="2"/>
        <v>1.388340490617095</v>
      </c>
      <c r="N21" s="155" t="e">
        <f>N22+N25+N26</f>
        <v>#REF!</v>
      </c>
      <c r="O21" s="158" t="e">
        <f>F21-#REF!</f>
        <v>#REF!</v>
      </c>
      <c r="P21" s="159" t="e">
        <f t="shared" si="6"/>
        <v>#REF!</v>
      </c>
      <c r="Q21" s="156" t="e">
        <f t="shared" si="9"/>
        <v>#REF!</v>
      </c>
      <c r="R21" s="106"/>
      <c r="S21" s="107"/>
      <c r="T21" s="145">
        <f t="shared" si="8"/>
        <v>189875.2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4150</v>
      </c>
      <c r="F22" s="170">
        <v>3819.61</v>
      </c>
      <c r="G22" s="169">
        <f t="shared" si="0"/>
        <v>-330.3899999999999</v>
      </c>
      <c r="H22" s="171">
        <f t="shared" si="3"/>
        <v>92.0387951807229</v>
      </c>
      <c r="I22" s="172">
        <f t="shared" si="4"/>
        <v>-18989.39</v>
      </c>
      <c r="J22" s="172">
        <f t="shared" si="5"/>
        <v>16.746065149721602</v>
      </c>
      <c r="K22" s="173">
        <v>3049.6</v>
      </c>
      <c r="L22" s="164">
        <f t="shared" si="1"/>
        <v>770.0100000000002</v>
      </c>
      <c r="M22" s="213">
        <f t="shared" si="2"/>
        <v>1.252495409233998</v>
      </c>
      <c r="N22" s="171" t="e">
        <f>E22-#REF!</f>
        <v>#REF!</v>
      </c>
      <c r="O22" s="174" t="e">
        <f>F22-#REF!</f>
        <v>#REF!</v>
      </c>
      <c r="P22" s="175" t="e">
        <f t="shared" si="6"/>
        <v>#REF!</v>
      </c>
      <c r="Q22" s="172" t="e">
        <f t="shared" si="9"/>
        <v>#REF!</v>
      </c>
      <c r="R22" s="106"/>
      <c r="S22" s="107"/>
      <c r="T22" s="145">
        <f t="shared" si="8"/>
        <v>18659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140</v>
      </c>
      <c r="F23" s="161">
        <v>120.37</v>
      </c>
      <c r="G23" s="196">
        <f t="shared" si="0"/>
        <v>-19.629999999999995</v>
      </c>
      <c r="H23" s="197">
        <f t="shared" si="3"/>
        <v>85.97857142857143</v>
      </c>
      <c r="I23" s="198">
        <f t="shared" si="4"/>
        <v>-1701.9299999999998</v>
      </c>
      <c r="J23" s="198">
        <f t="shared" si="5"/>
        <v>6.605388794380727</v>
      </c>
      <c r="K23" s="198">
        <v>128.1</v>
      </c>
      <c r="L23" s="198">
        <f t="shared" si="1"/>
        <v>-7.72999999999999</v>
      </c>
      <c r="M23" s="226">
        <f t="shared" si="2"/>
        <v>0.939656518345043</v>
      </c>
      <c r="N23" s="197" t="e">
        <f>E23-#REF!</f>
        <v>#REF!</v>
      </c>
      <c r="O23" s="197" t="e">
        <f>F23-#REF!</f>
        <v>#REF!</v>
      </c>
      <c r="P23" s="198" t="e">
        <f t="shared" si="6"/>
        <v>#REF!</v>
      </c>
      <c r="Q23" s="198" t="e">
        <f t="shared" si="9"/>
        <v>#REF!</v>
      </c>
      <c r="R23" s="106"/>
      <c r="S23" s="107"/>
      <c r="T23" s="145">
        <f t="shared" si="8"/>
        <v>1682.3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4010</v>
      </c>
      <c r="F24" s="161">
        <v>3699.24</v>
      </c>
      <c r="G24" s="196">
        <f t="shared" si="0"/>
        <v>-310.7600000000002</v>
      </c>
      <c r="H24" s="197">
        <f t="shared" si="3"/>
        <v>92.2503740648379</v>
      </c>
      <c r="I24" s="198">
        <f t="shared" si="4"/>
        <v>-17287.46</v>
      </c>
      <c r="J24" s="198">
        <f t="shared" si="5"/>
        <v>17.62659207974574</v>
      </c>
      <c r="K24" s="198">
        <v>2921.5</v>
      </c>
      <c r="L24" s="198">
        <f t="shared" si="1"/>
        <v>777.7399999999998</v>
      </c>
      <c r="M24" s="226">
        <f t="shared" si="2"/>
        <v>1.266212562040048</v>
      </c>
      <c r="N24" s="197" t="e">
        <f>E24-#REF!</f>
        <v>#REF!</v>
      </c>
      <c r="O24" s="197" t="e">
        <f>F24-#REF!</f>
        <v>#REF!</v>
      </c>
      <c r="P24" s="198" t="e">
        <f t="shared" si="6"/>
        <v>#REF!</v>
      </c>
      <c r="Q24" s="198" t="e">
        <f t="shared" si="9"/>
        <v>#REF!</v>
      </c>
      <c r="R24" s="106"/>
      <c r="S24" s="107"/>
      <c r="T24" s="145">
        <f t="shared" si="8"/>
        <v>16976.7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45.8</v>
      </c>
      <c r="F25" s="170">
        <v>52.08</v>
      </c>
      <c r="G25" s="169">
        <f t="shared" si="0"/>
        <v>6.280000000000001</v>
      </c>
      <c r="H25" s="171">
        <f t="shared" si="3"/>
        <v>113.71179039301312</v>
      </c>
      <c r="I25" s="172">
        <f t="shared" si="4"/>
        <v>-767.92</v>
      </c>
      <c r="J25" s="172">
        <f t="shared" si="5"/>
        <v>6.351219512195122</v>
      </c>
      <c r="K25" s="172">
        <v>156.87</v>
      </c>
      <c r="L25" s="172">
        <f t="shared" si="1"/>
        <v>-104.79</v>
      </c>
      <c r="M25" s="210">
        <f t="shared" si="2"/>
        <v>0.33199464524765726</v>
      </c>
      <c r="N25" s="171" t="e">
        <f>E25-#REF!</f>
        <v>#REF!</v>
      </c>
      <c r="O25" s="174" t="e">
        <f>F25-#REF!</f>
        <v>#REF!</v>
      </c>
      <c r="P25" s="175" t="e">
        <f t="shared" si="6"/>
        <v>#REF!</v>
      </c>
      <c r="Q25" s="172"/>
      <c r="R25" s="106"/>
      <c r="S25" s="107"/>
      <c r="T25" s="145">
        <f t="shared" si="8"/>
        <v>774.2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12550</v>
      </c>
      <c r="F26" s="170">
        <v>12648.59</v>
      </c>
      <c r="G26" s="169">
        <f t="shared" si="0"/>
        <v>98.59000000000015</v>
      </c>
      <c r="H26" s="171">
        <f t="shared" si="3"/>
        <v>100.78557768924303</v>
      </c>
      <c r="I26" s="172">
        <f t="shared" si="4"/>
        <v>-170343.41</v>
      </c>
      <c r="J26" s="172">
        <f t="shared" si="5"/>
        <v>6.912099982512896</v>
      </c>
      <c r="K26" s="173">
        <v>8692.83</v>
      </c>
      <c r="L26" s="173">
        <f t="shared" si="1"/>
        <v>3955.76</v>
      </c>
      <c r="M26" s="209">
        <f t="shared" si="2"/>
        <v>1.455060089752129</v>
      </c>
      <c r="N26" s="171" t="e">
        <f>E26-#REF!</f>
        <v>#REF!</v>
      </c>
      <c r="O26" s="174" t="e">
        <f>F26-#REF!</f>
        <v>#REF!</v>
      </c>
      <c r="P26" s="175" t="e">
        <f t="shared" si="6"/>
        <v>#REF!</v>
      </c>
      <c r="Q26" s="172" t="e">
        <f>O26/N26*100</f>
        <v>#REF!</v>
      </c>
      <c r="R26" s="106"/>
      <c r="S26" s="107"/>
      <c r="T26" s="145">
        <f t="shared" si="8"/>
        <v>170442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3530</v>
      </c>
      <c r="F27" s="161">
        <v>3799.86</v>
      </c>
      <c r="G27" s="196">
        <f t="shared" si="0"/>
        <v>269.8600000000001</v>
      </c>
      <c r="H27" s="197">
        <f t="shared" si="3"/>
        <v>107.64475920679888</v>
      </c>
      <c r="I27" s="198">
        <f t="shared" si="4"/>
        <v>-53733.14</v>
      </c>
      <c r="J27" s="198">
        <f t="shared" si="5"/>
        <v>6.604661672431475</v>
      </c>
      <c r="K27" s="198">
        <v>2454.05</v>
      </c>
      <c r="L27" s="198">
        <f t="shared" si="1"/>
        <v>1345.81</v>
      </c>
      <c r="M27" s="226">
        <f t="shared" si="2"/>
        <v>1.5484036592571462</v>
      </c>
      <c r="N27" s="197" t="e">
        <f>E27-#REF!</f>
        <v>#REF!</v>
      </c>
      <c r="O27" s="197" t="e">
        <f>F27-#REF!</f>
        <v>#REF!</v>
      </c>
      <c r="P27" s="198" t="e">
        <f t="shared" si="6"/>
        <v>#REF!</v>
      </c>
      <c r="Q27" s="198" t="e">
        <f>O27/N27*100</f>
        <v>#REF!</v>
      </c>
      <c r="R27" s="106"/>
      <c r="S27" s="107"/>
      <c r="T27" s="145">
        <f t="shared" si="8"/>
        <v>54003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9020</v>
      </c>
      <c r="F28" s="161">
        <v>8848.73</v>
      </c>
      <c r="G28" s="196">
        <f t="shared" si="0"/>
        <v>-171.27000000000044</v>
      </c>
      <c r="H28" s="197">
        <f t="shared" si="3"/>
        <v>98.10121951219512</v>
      </c>
      <c r="I28" s="198">
        <f t="shared" si="4"/>
        <v>-116610.27</v>
      </c>
      <c r="J28" s="198">
        <f t="shared" si="5"/>
        <v>7.053085071617023</v>
      </c>
      <c r="K28" s="198">
        <v>6238.78</v>
      </c>
      <c r="L28" s="198">
        <f t="shared" si="1"/>
        <v>2609.95</v>
      </c>
      <c r="M28" s="226">
        <f t="shared" si="2"/>
        <v>1.4183430093704217</v>
      </c>
      <c r="N28" s="197" t="e">
        <f>E28-#REF!</f>
        <v>#REF!</v>
      </c>
      <c r="O28" s="197" t="e">
        <f>F28-#REF!</f>
        <v>#REF!</v>
      </c>
      <c r="P28" s="198" t="e">
        <f t="shared" si="6"/>
        <v>#REF!</v>
      </c>
      <c r="Q28" s="198" t="e">
        <f>O28/N28*100</f>
        <v>#REF!</v>
      </c>
      <c r="R28" s="106"/>
      <c r="S28" s="107"/>
      <c r="T28" s="145">
        <f t="shared" si="8"/>
        <v>116439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 t="e">
        <f>E29-#REF!</f>
        <v>#REF!</v>
      </c>
      <c r="O29" s="158" t="e">
        <f>F29-#REF!</f>
        <v>#REF!</v>
      </c>
      <c r="P29" s="159" t="e">
        <f t="shared" si="6"/>
        <v>#REF!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3</v>
      </c>
      <c r="F30" s="154">
        <v>13.06</v>
      </c>
      <c r="G30" s="148">
        <f t="shared" si="0"/>
        <v>10.06</v>
      </c>
      <c r="H30" s="155">
        <f t="shared" si="3"/>
        <v>435.33333333333337</v>
      </c>
      <c r="I30" s="156">
        <f t="shared" si="4"/>
        <v>-101.94</v>
      </c>
      <c r="J30" s="156">
        <f t="shared" si="5"/>
        <v>11.356521739130434</v>
      </c>
      <c r="K30" s="156">
        <v>2.61</v>
      </c>
      <c r="L30" s="156">
        <f t="shared" si="1"/>
        <v>10.450000000000001</v>
      </c>
      <c r="M30" s="208">
        <f>F30/K30</f>
        <v>5.0038314176245215</v>
      </c>
      <c r="N30" s="155" t="e">
        <f>E30-#REF!</f>
        <v>#REF!</v>
      </c>
      <c r="O30" s="158" t="e">
        <f>F30-#REF!</f>
        <v>#REF!</v>
      </c>
      <c r="P30" s="159" t="e">
        <f t="shared" si="6"/>
        <v>#REF!</v>
      </c>
      <c r="Q30" s="156" t="e">
        <f>O30/N30*100</f>
        <v>#REF!</v>
      </c>
      <c r="R30" s="106"/>
      <c r="S30" s="107"/>
      <c r="T30" s="145">
        <f t="shared" si="8"/>
        <v>112</v>
      </c>
    </row>
    <row r="31" spans="1:20" s="6" customFormat="1" ht="49.5" customHeight="1">
      <c r="A31" s="8"/>
      <c r="B31" s="223" t="s">
        <v>83</v>
      </c>
      <c r="C31" s="113">
        <v>18040000</v>
      </c>
      <c r="D31" s="148"/>
      <c r="E31" s="148"/>
      <c r="F31" s="154">
        <v>-2.93</v>
      </c>
      <c r="G31" s="148">
        <f t="shared" si="0"/>
        <v>-2.93</v>
      </c>
      <c r="H31" s="155"/>
      <c r="I31" s="156">
        <f t="shared" si="4"/>
        <v>-2.93</v>
      </c>
      <c r="J31" s="156"/>
      <c r="K31" s="156">
        <v>-0.35</v>
      </c>
      <c r="L31" s="156">
        <f t="shared" si="1"/>
        <v>-2.58</v>
      </c>
      <c r="M31" s="208">
        <f>F31/K31</f>
        <v>8.371428571428572</v>
      </c>
      <c r="N31" s="155" t="e">
        <f>E31-#REF!</f>
        <v>#REF!</v>
      </c>
      <c r="O31" s="158" t="e">
        <f>F31-#REF!</f>
        <v>#REF!</v>
      </c>
      <c r="P31" s="159" t="e">
        <f t="shared" si="6"/>
        <v>#REF!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f>14418.7+900+4900</f>
        <v>20218.7</v>
      </c>
      <c r="F32" s="161">
        <v>20649.68</v>
      </c>
      <c r="G32" s="160">
        <f t="shared" si="0"/>
        <v>430.97999999999956</v>
      </c>
      <c r="H32" s="162">
        <f t="shared" si="3"/>
        <v>102.13159105184803</v>
      </c>
      <c r="I32" s="163">
        <f t="shared" si="4"/>
        <v>-173744.42</v>
      </c>
      <c r="J32" s="163">
        <f t="shared" si="5"/>
        <v>10.622585767777931</v>
      </c>
      <c r="K32" s="176">
        <v>12895.5</v>
      </c>
      <c r="L32" s="176">
        <f>F32-K32</f>
        <v>7754.18</v>
      </c>
      <c r="M32" s="224">
        <f>F32/K32</f>
        <v>1.6013089837540226</v>
      </c>
      <c r="N32" s="155" t="e">
        <f>E32-#REF!</f>
        <v>#REF!</v>
      </c>
      <c r="O32" s="158" t="e">
        <f>F32-#REF!</f>
        <v>#REF!</v>
      </c>
      <c r="P32" s="165" t="e">
        <f t="shared" si="6"/>
        <v>#REF!</v>
      </c>
      <c r="Q32" s="163" t="e">
        <f>O32/N32*100</f>
        <v>#REF!</v>
      </c>
      <c r="R32" s="106"/>
      <c r="S32" s="107"/>
      <c r="T32" s="145">
        <f t="shared" si="8"/>
        <v>174175.4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</v>
      </c>
      <c r="L33" s="126">
        <f t="shared" si="1"/>
        <v>0</v>
      </c>
      <c r="M33" s="214" t="e">
        <f aca="true" t="shared" si="10" ref="M33:M39">F33/K33</f>
        <v>#DIV/0!</v>
      </c>
      <c r="N33" s="104" t="e">
        <f>E33-#REF!</f>
        <v>#REF!</v>
      </c>
      <c r="O33" s="142" t="e">
        <f>F33-#REF!</f>
        <v>#REF!</v>
      </c>
      <c r="P33" s="105" t="e">
        <f t="shared" si="6"/>
        <v>#REF!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f>2600+900</f>
        <v>3500</v>
      </c>
      <c r="F34" s="138">
        <v>3585.03</v>
      </c>
      <c r="G34" s="102">
        <f t="shared" si="0"/>
        <v>85.0300000000002</v>
      </c>
      <c r="H34" s="104">
        <f t="shared" si="3"/>
        <v>102.42942857142859</v>
      </c>
      <c r="I34" s="103">
        <f t="shared" si="4"/>
        <v>-37414.97</v>
      </c>
      <c r="J34" s="103">
        <f t="shared" si="5"/>
        <v>8.743975609756099</v>
      </c>
      <c r="K34" s="126">
        <v>2155.98</v>
      </c>
      <c r="L34" s="126">
        <f t="shared" si="1"/>
        <v>1429.0500000000002</v>
      </c>
      <c r="M34" s="214">
        <f t="shared" si="10"/>
        <v>1.6628308240336183</v>
      </c>
      <c r="N34" s="104" t="e">
        <f>E34-#REF!</f>
        <v>#REF!</v>
      </c>
      <c r="O34" s="142" t="e">
        <f>F34-#REF!</f>
        <v>#REF!</v>
      </c>
      <c r="P34" s="105" t="e">
        <f t="shared" si="6"/>
        <v>#REF!</v>
      </c>
      <c r="Q34" s="103" t="e">
        <f>O34/N34*100</f>
        <v>#REF!</v>
      </c>
      <c r="R34" s="106"/>
      <c r="S34" s="107"/>
      <c r="T34" s="145">
        <f t="shared" si="8"/>
        <v>37500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f>11800+4900</f>
        <v>16700</v>
      </c>
      <c r="F35" s="138">
        <v>17048.54</v>
      </c>
      <c r="G35" s="102">
        <f t="shared" si="0"/>
        <v>348.5400000000009</v>
      </c>
      <c r="H35" s="104">
        <f t="shared" si="3"/>
        <v>102.08706586826348</v>
      </c>
      <c r="I35" s="103">
        <f t="shared" si="4"/>
        <v>-136290.56</v>
      </c>
      <c r="J35" s="103">
        <f t="shared" si="5"/>
        <v>11.118194902669964</v>
      </c>
      <c r="K35" s="126">
        <v>10736.34</v>
      </c>
      <c r="L35" s="126">
        <f t="shared" si="1"/>
        <v>6312.200000000001</v>
      </c>
      <c r="M35" s="214">
        <f t="shared" si="10"/>
        <v>1.5879284746943558</v>
      </c>
      <c r="N35" s="104" t="e">
        <f>E35-#REF!</f>
        <v>#REF!</v>
      </c>
      <c r="O35" s="142" t="e">
        <f>F35-#REF!</f>
        <v>#REF!</v>
      </c>
      <c r="P35" s="105" t="e">
        <f t="shared" si="6"/>
        <v>#REF!</v>
      </c>
      <c r="Q35" s="103" t="e">
        <f>O35/N35*100</f>
        <v>#REF!</v>
      </c>
      <c r="R35" s="106"/>
      <c r="S35" s="107"/>
      <c r="T35" s="145">
        <f t="shared" si="8"/>
        <v>136639.1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3.19</v>
      </c>
      <c r="L36" s="126">
        <f t="shared" si="1"/>
        <v>12.92</v>
      </c>
      <c r="M36" s="214">
        <f t="shared" si="10"/>
        <v>5.0501567398119125</v>
      </c>
      <c r="N36" s="104" t="e">
        <f>E36-#REF!</f>
        <v>#REF!</v>
      </c>
      <c r="O36" s="142" t="e">
        <f>F36-#REF!</f>
        <v>#REF!</v>
      </c>
      <c r="P36" s="105" t="e">
        <f t="shared" si="6"/>
        <v>#REF!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9.9</v>
      </c>
      <c r="L37" s="118">
        <f t="shared" si="1"/>
        <v>-9.9</v>
      </c>
      <c r="M37" s="215">
        <f t="shared" si="10"/>
        <v>0</v>
      </c>
      <c r="N37" s="135" t="e">
        <f>E37-#REF!</f>
        <v>#REF!</v>
      </c>
      <c r="O37" s="143" t="e">
        <f>F37-#REF!</f>
        <v>#REF!</v>
      </c>
      <c r="P37" s="35" t="e">
        <f t="shared" si="6"/>
        <v>#REF!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2987.8</v>
      </c>
      <c r="F38" s="149">
        <f>F39+F40+F41+F42+F43+F45+F47+F48+F49+F50+F51+F56+F57+F61+F44</f>
        <v>4227.7300000000005</v>
      </c>
      <c r="G38" s="149">
        <f>G39+G40+G41+G42+G43+G45+G47+G48+G49+G50+G51+G56+G57+G61</f>
        <v>1246.73</v>
      </c>
      <c r="H38" s="150">
        <f>F38/E38*100</f>
        <v>141.4997657139032</v>
      </c>
      <c r="I38" s="151">
        <f>F38-D38</f>
        <v>-54797.27</v>
      </c>
      <c r="J38" s="151">
        <f>F38/D38*100</f>
        <v>7.162609063955952</v>
      </c>
      <c r="K38" s="149">
        <v>2030.96</v>
      </c>
      <c r="L38" s="149">
        <f t="shared" si="1"/>
        <v>2196.7700000000004</v>
      </c>
      <c r="M38" s="203">
        <f t="shared" si="10"/>
        <v>2.08164119431205</v>
      </c>
      <c r="N38" s="149" t="e">
        <f>N39+N40+N41+N42+N43+N45+N47+N48+N49+N50+N51+N56+N57+N61+N44</f>
        <v>#REF!</v>
      </c>
      <c r="O38" s="149" t="e">
        <f>O39+O40+O41+O42+O43+O45+O47+O48+O49+O50+O51+O56+O57+O61+O44</f>
        <v>#REF!</v>
      </c>
      <c r="P38" s="149" t="e">
        <f>P39+P40+P41+P42+P43+P45+P47+P48+P49+P50+P51+P56+P57+P61</f>
        <v>#REF!</v>
      </c>
      <c r="Q38" s="149" t="e">
        <f>O38/N38*100</f>
        <v>#REF!</v>
      </c>
      <c r="R38" s="15" t="e">
        <f>#N/A</f>
        <v>#N/A</v>
      </c>
      <c r="S38" s="15" t="e">
        <f>#N/A</f>
        <v>#N/A</v>
      </c>
      <c r="T38" s="145">
        <f t="shared" si="8"/>
        <v>56037.2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0</v>
      </c>
      <c r="F39" s="154">
        <v>8.18</v>
      </c>
      <c r="G39" s="160">
        <f>F39-E39</f>
        <v>8.18</v>
      </c>
      <c r="H39" s="162"/>
      <c r="I39" s="163">
        <f>F39-D39</f>
        <v>-571.82</v>
      </c>
      <c r="J39" s="163">
        <f>F39/D39*100</f>
        <v>1.410344827586207</v>
      </c>
      <c r="K39" s="163">
        <v>4.71</v>
      </c>
      <c r="L39" s="163">
        <f t="shared" si="1"/>
        <v>3.4699999999999998</v>
      </c>
      <c r="M39" s="216">
        <f t="shared" si="10"/>
        <v>1.7367303609341826</v>
      </c>
      <c r="N39" s="162" t="e">
        <f>E39-#REF!</f>
        <v>#REF!</v>
      </c>
      <c r="O39" s="166" t="e">
        <f>F39-#REF!</f>
        <v>#REF!</v>
      </c>
      <c r="P39" s="165" t="e">
        <f>O39-N39</f>
        <v>#REF!</v>
      </c>
      <c r="Q39" s="163" t="e">
        <f aca="true" t="shared" si="11" ref="Q39:Q62">O39/N39*100</f>
        <v>#REF!</v>
      </c>
      <c r="R39" s="36"/>
      <c r="S39" s="93"/>
      <c r="T39" s="145">
        <f t="shared" si="8"/>
        <v>580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0</v>
      </c>
      <c r="F40" s="154">
        <v>0</v>
      </c>
      <c r="G40" s="160">
        <f aca="true" t="shared" si="12" ref="G40:G63">F40-E40</f>
        <v>0</v>
      </c>
      <c r="H40" s="162"/>
      <c r="I40" s="163">
        <f aca="true" t="shared" si="13" ref="I40:I63">F40-D40</f>
        <v>-30000</v>
      </c>
      <c r="J40" s="163">
        <f>F40/D40*100</f>
        <v>0</v>
      </c>
      <c r="K40" s="163">
        <v>0</v>
      </c>
      <c r="L40" s="163">
        <f t="shared" si="1"/>
        <v>0</v>
      </c>
      <c r="M40" s="216"/>
      <c r="N40" s="162" t="e">
        <f>E40-#REF!</f>
        <v>#REF!</v>
      </c>
      <c r="O40" s="166" t="e">
        <f>F40-#REF!</f>
        <v>#REF!</v>
      </c>
      <c r="P40" s="165" t="e">
        <f aca="true" t="shared" si="14" ref="P40:P63">O40-N40</f>
        <v>#REF!</v>
      </c>
      <c r="Q40" s="163" t="e">
        <f t="shared" si="11"/>
        <v>#REF!</v>
      </c>
      <c r="R40" s="36"/>
      <c r="S40" s="93"/>
      <c r="T40" s="145">
        <f t="shared" si="8"/>
        <v>30000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10</v>
      </c>
      <c r="F41" s="154">
        <v>14.87</v>
      </c>
      <c r="G41" s="160">
        <f t="shared" si="12"/>
        <v>4.869999999999999</v>
      </c>
      <c r="H41" s="162">
        <f aca="true" t="shared" si="15" ref="H41:H62">F41/E41*100</f>
        <v>148.7</v>
      </c>
      <c r="I41" s="163">
        <f t="shared" si="13"/>
        <v>-25.130000000000003</v>
      </c>
      <c r="J41" s="163">
        <f aca="true" t="shared" si="16" ref="J41:J62">F41/D41*100</f>
        <v>37.175</v>
      </c>
      <c r="K41" s="163">
        <v>17.84</v>
      </c>
      <c r="L41" s="163">
        <f t="shared" si="1"/>
        <v>-2.9700000000000006</v>
      </c>
      <c r="M41" s="216">
        <f aca="true" t="shared" si="17" ref="M41:M63">F41/K41</f>
        <v>0.8335201793721972</v>
      </c>
      <c r="N41" s="162" t="e">
        <f>E41-#REF!</f>
        <v>#REF!</v>
      </c>
      <c r="O41" s="166" t="e">
        <f>F41-#REF!</f>
        <v>#REF!</v>
      </c>
      <c r="P41" s="165" t="e">
        <f t="shared" si="14"/>
        <v>#REF!</v>
      </c>
      <c r="Q41" s="163"/>
      <c r="R41" s="36"/>
      <c r="S41" s="93"/>
      <c r="T41" s="145">
        <f t="shared" si="8"/>
        <v>30</v>
      </c>
    </row>
    <row r="42" spans="1:20" s="6" customFormat="1" ht="31.5" hidden="1">
      <c r="A42" s="8"/>
      <c r="B42" s="230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6">
        <f t="shared" si="17"/>
        <v>0</v>
      </c>
      <c r="N42" s="162" t="e">
        <f>E42-#REF!</f>
        <v>#REF!</v>
      </c>
      <c r="O42" s="166" t="e">
        <f>F42-#REF!</f>
        <v>#REF!</v>
      </c>
      <c r="P42" s="165" t="e">
        <f t="shared" si="14"/>
        <v>#REF!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20</v>
      </c>
      <c r="F43" s="154">
        <v>11.17</v>
      </c>
      <c r="G43" s="160">
        <f t="shared" si="12"/>
        <v>-8.83</v>
      </c>
      <c r="H43" s="162">
        <f t="shared" si="15"/>
        <v>55.85</v>
      </c>
      <c r="I43" s="163">
        <f t="shared" si="13"/>
        <v>-248.83</v>
      </c>
      <c r="J43" s="163">
        <f t="shared" si="16"/>
        <v>4.296153846153846</v>
      </c>
      <c r="K43" s="163">
        <v>-6.4</v>
      </c>
      <c r="L43" s="163">
        <f t="shared" si="1"/>
        <v>17.57</v>
      </c>
      <c r="M43" s="216">
        <f t="shared" si="17"/>
        <v>-1.7453124999999998</v>
      </c>
      <c r="N43" s="162" t="e">
        <f>E43-#REF!</f>
        <v>#REF!</v>
      </c>
      <c r="O43" s="166" t="e">
        <f>F43-#REF!</f>
        <v>#REF!</v>
      </c>
      <c r="P43" s="165" t="e">
        <f t="shared" si="14"/>
        <v>#REF!</v>
      </c>
      <c r="Q43" s="163" t="e">
        <f t="shared" si="11"/>
        <v>#REF!</v>
      </c>
      <c r="R43" s="36"/>
      <c r="S43" s="93"/>
      <c r="T43" s="145">
        <f t="shared" si="8"/>
        <v>240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6.8</v>
      </c>
      <c r="F44" s="154">
        <v>0</v>
      </c>
      <c r="G44" s="160">
        <f t="shared" si="12"/>
        <v>-6.8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 t="e">
        <f>E44-#REF!</f>
        <v>#REF!</v>
      </c>
      <c r="O44" s="166" t="e">
        <f>F44-#REF!</f>
        <v>#REF!</v>
      </c>
      <c r="P44" s="165"/>
      <c r="Q44" s="163"/>
      <c r="R44" s="36"/>
      <c r="S44" s="93"/>
      <c r="T44" s="145">
        <f t="shared" si="8"/>
        <v>90.7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60</v>
      </c>
      <c r="F45" s="154">
        <v>89.45</v>
      </c>
      <c r="G45" s="160">
        <f t="shared" si="12"/>
        <v>29.450000000000003</v>
      </c>
      <c r="H45" s="162">
        <f t="shared" si="15"/>
        <v>149.08333333333334</v>
      </c>
      <c r="I45" s="163">
        <f t="shared" si="13"/>
        <v>-640.55</v>
      </c>
      <c r="J45" s="163">
        <f t="shared" si="16"/>
        <v>12.253424657534246</v>
      </c>
      <c r="K45" s="163">
        <v>0</v>
      </c>
      <c r="L45" s="163">
        <f t="shared" si="1"/>
        <v>89.45</v>
      </c>
      <c r="M45" s="216"/>
      <c r="N45" s="162" t="e">
        <f>E45-#REF!</f>
        <v>#REF!</v>
      </c>
      <c r="O45" s="166" t="e">
        <f>F45-#REF!</f>
        <v>#REF!</v>
      </c>
      <c r="P45" s="165" t="e">
        <f t="shared" si="14"/>
        <v>#REF!</v>
      </c>
      <c r="Q45" s="163" t="e">
        <f t="shared" si="11"/>
        <v>#REF!</v>
      </c>
      <c r="R45" s="36"/>
      <c r="S45" s="93"/>
      <c r="T45" s="145">
        <f t="shared" si="8"/>
        <v>670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 t="e">
        <f>E46-#REF!</f>
        <v>#REF!</v>
      </c>
      <c r="O46" s="166" t="e">
        <f>F46-#REF!</f>
        <v>#REF!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600</v>
      </c>
      <c r="F47" s="154">
        <v>1052.56</v>
      </c>
      <c r="G47" s="160">
        <f t="shared" si="12"/>
        <v>452.55999999999995</v>
      </c>
      <c r="H47" s="162">
        <f t="shared" si="15"/>
        <v>175.42666666666668</v>
      </c>
      <c r="I47" s="163">
        <f t="shared" si="13"/>
        <v>-9947.44</v>
      </c>
      <c r="J47" s="163">
        <f t="shared" si="16"/>
        <v>9.568727272727271</v>
      </c>
      <c r="K47" s="163">
        <v>539.02</v>
      </c>
      <c r="L47" s="163">
        <f t="shared" si="1"/>
        <v>513.54</v>
      </c>
      <c r="M47" s="216">
        <f t="shared" si="17"/>
        <v>1.9527290267522541</v>
      </c>
      <c r="N47" s="162" t="e">
        <f>E47-#REF!</f>
        <v>#REF!</v>
      </c>
      <c r="O47" s="166" t="e">
        <f>F47-#REF!</f>
        <v>#REF!</v>
      </c>
      <c r="P47" s="165" t="e">
        <f t="shared" si="14"/>
        <v>#REF!</v>
      </c>
      <c r="Q47" s="163" t="e">
        <f t="shared" si="11"/>
        <v>#REF!</v>
      </c>
      <c r="R47" s="36"/>
      <c r="S47" s="93"/>
      <c r="T47" s="145">
        <f t="shared" si="8"/>
        <v>10400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25</v>
      </c>
      <c r="F48" s="154">
        <v>44.53</v>
      </c>
      <c r="G48" s="160">
        <f t="shared" si="12"/>
        <v>19.53</v>
      </c>
      <c r="H48" s="162">
        <f t="shared" si="15"/>
        <v>178.12</v>
      </c>
      <c r="I48" s="163">
        <f t="shared" si="13"/>
        <v>-265.47</v>
      </c>
      <c r="J48" s="163">
        <f t="shared" si="16"/>
        <v>14.364516129032259</v>
      </c>
      <c r="K48" s="163">
        <v>1.03</v>
      </c>
      <c r="L48" s="163">
        <f t="shared" si="1"/>
        <v>43.5</v>
      </c>
      <c r="M48" s="216"/>
      <c r="N48" s="162" t="e">
        <f>E48-#REF!</f>
        <v>#REF!</v>
      </c>
      <c r="O48" s="166" t="e">
        <f>F48-#REF!</f>
        <v>#REF!</v>
      </c>
      <c r="P48" s="165" t="e">
        <f t="shared" si="14"/>
        <v>#REF!</v>
      </c>
      <c r="Q48" s="163"/>
      <c r="R48" s="36"/>
      <c r="S48" s="93"/>
      <c r="T48" s="145">
        <f t="shared" si="8"/>
        <v>285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1</v>
      </c>
      <c r="F49" s="154">
        <v>0</v>
      </c>
      <c r="G49" s="160">
        <f t="shared" si="12"/>
        <v>-1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 t="e">
        <f>E49-#REF!</f>
        <v>#REF!</v>
      </c>
      <c r="O49" s="166" t="e">
        <f>F49-#REF!</f>
        <v>#REF!</v>
      </c>
      <c r="P49" s="165" t="e">
        <f t="shared" si="14"/>
        <v>#REF!</v>
      </c>
      <c r="Q49" s="163" t="e">
        <f t="shared" si="11"/>
        <v>#REF!</v>
      </c>
      <c r="R49" s="36"/>
      <c r="S49" s="93"/>
      <c r="T49" s="145">
        <f t="shared" si="8"/>
        <v>19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600</v>
      </c>
      <c r="F50" s="154">
        <v>684.99</v>
      </c>
      <c r="G50" s="160">
        <f t="shared" si="12"/>
        <v>84.99000000000001</v>
      </c>
      <c r="H50" s="162">
        <f t="shared" si="15"/>
        <v>114.165</v>
      </c>
      <c r="I50" s="163">
        <f t="shared" si="13"/>
        <v>-6590.01</v>
      </c>
      <c r="J50" s="163">
        <f t="shared" si="16"/>
        <v>9.415670103092785</v>
      </c>
      <c r="K50" s="163">
        <v>716.23</v>
      </c>
      <c r="L50" s="163">
        <f t="shared" si="1"/>
        <v>-31.24000000000001</v>
      </c>
      <c r="M50" s="216">
        <f t="shared" si="17"/>
        <v>0.9563827262192313</v>
      </c>
      <c r="N50" s="162" t="e">
        <f>E50-#REF!</f>
        <v>#REF!</v>
      </c>
      <c r="O50" s="166" t="e">
        <f>F50-#REF!</f>
        <v>#REF!</v>
      </c>
      <c r="P50" s="165" t="e">
        <f t="shared" si="14"/>
        <v>#REF!</v>
      </c>
      <c r="Q50" s="163" t="e">
        <f t="shared" si="11"/>
        <v>#REF!</v>
      </c>
      <c r="R50" s="36"/>
      <c r="S50" s="93"/>
      <c r="T50" s="145">
        <f t="shared" si="8"/>
        <v>6675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55</v>
      </c>
      <c r="F51" s="154">
        <v>40.09</v>
      </c>
      <c r="G51" s="160">
        <f t="shared" si="12"/>
        <v>-14.909999999999997</v>
      </c>
      <c r="H51" s="162">
        <f t="shared" si="15"/>
        <v>72.89090909090909</v>
      </c>
      <c r="I51" s="163">
        <f t="shared" si="13"/>
        <v>-1159.91</v>
      </c>
      <c r="J51" s="163">
        <f t="shared" si="16"/>
        <v>3.3408333333333338</v>
      </c>
      <c r="K51" s="163">
        <v>408.2</v>
      </c>
      <c r="L51" s="163">
        <f t="shared" si="1"/>
        <v>-368.11</v>
      </c>
      <c r="M51" s="216">
        <f t="shared" si="17"/>
        <v>0.09821166095051446</v>
      </c>
      <c r="N51" s="162" t="e">
        <f>E51-#REF!</f>
        <v>#REF!</v>
      </c>
      <c r="O51" s="166" t="e">
        <f>F51-#REF!</f>
        <v>#REF!</v>
      </c>
      <c r="P51" s="165" t="e">
        <f t="shared" si="14"/>
        <v>#REF!</v>
      </c>
      <c r="Q51" s="163" t="e">
        <f t="shared" si="11"/>
        <v>#REF!</v>
      </c>
      <c r="R51" s="36"/>
      <c r="S51" s="93"/>
      <c r="T51" s="145">
        <f t="shared" si="8"/>
        <v>1145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40</v>
      </c>
      <c r="F52" s="138">
        <v>32.81</v>
      </c>
      <c r="G52" s="33">
        <f t="shared" si="12"/>
        <v>-7.189999999999998</v>
      </c>
      <c r="H52" s="29">
        <f t="shared" si="15"/>
        <v>82.025</v>
      </c>
      <c r="I52" s="103">
        <f t="shared" si="13"/>
        <v>-965.19</v>
      </c>
      <c r="J52" s="103">
        <f t="shared" si="16"/>
        <v>3.287575150300601</v>
      </c>
      <c r="K52" s="103">
        <v>25.99</v>
      </c>
      <c r="L52" s="103">
        <f>F52-K52</f>
        <v>6.820000000000004</v>
      </c>
      <c r="M52" s="108">
        <f t="shared" si="17"/>
        <v>1.2624086186995</v>
      </c>
      <c r="N52" s="104" t="e">
        <f>E52-#REF!</f>
        <v>#REF!</v>
      </c>
      <c r="O52" s="142" t="e">
        <f>F52-#REF!</f>
        <v>#REF!</v>
      </c>
      <c r="P52" s="105" t="e">
        <f t="shared" si="14"/>
        <v>#REF!</v>
      </c>
      <c r="Q52" s="118" t="e">
        <f t="shared" si="11"/>
        <v>#REF!</v>
      </c>
      <c r="R52" s="36"/>
      <c r="S52" s="93"/>
      <c r="T52" s="145">
        <f t="shared" si="8"/>
        <v>958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0.01</v>
      </c>
      <c r="G53" s="33">
        <f t="shared" si="12"/>
        <v>0.01</v>
      </c>
      <c r="H53" s="29" t="e">
        <f t="shared" si="15"/>
        <v>#DIV/0!</v>
      </c>
      <c r="I53" s="103">
        <f t="shared" si="13"/>
        <v>-0.99</v>
      </c>
      <c r="J53" s="103">
        <f t="shared" si="16"/>
        <v>1</v>
      </c>
      <c r="K53" s="103">
        <v>0.04</v>
      </c>
      <c r="L53" s="103">
        <f>F53-K53</f>
        <v>-0.03</v>
      </c>
      <c r="M53" s="108">
        <f t="shared" si="17"/>
        <v>0.25</v>
      </c>
      <c r="N53" s="104" t="e">
        <f>E53-#REF!</f>
        <v>#REF!</v>
      </c>
      <c r="O53" s="142" t="e">
        <f>F53-#REF!</f>
        <v>#REF!</v>
      </c>
      <c r="P53" s="105" t="e">
        <f t="shared" si="14"/>
        <v>#REF!</v>
      </c>
      <c r="Q53" s="118" t="e">
        <f t="shared" si="11"/>
        <v>#REF!</v>
      </c>
      <c r="R53" s="36"/>
      <c r="S53" s="93"/>
      <c r="T53" s="145">
        <f t="shared" si="8"/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04" t="e">
        <f>E54-#REF!</f>
        <v>#REF!</v>
      </c>
      <c r="O54" s="142" t="e">
        <f>F54-#REF!</f>
        <v>#REF!</v>
      </c>
      <c r="P54" s="105" t="e">
        <f t="shared" si="14"/>
        <v>#REF!</v>
      </c>
      <c r="Q54" s="118"/>
      <c r="R54" s="36"/>
      <c r="S54" s="93"/>
      <c r="T54" s="145">
        <f t="shared" si="8"/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15</v>
      </c>
      <c r="F55" s="138">
        <v>7.27</v>
      </c>
      <c r="G55" s="33">
        <f t="shared" si="12"/>
        <v>-7.73</v>
      </c>
      <c r="H55" s="29">
        <f t="shared" si="15"/>
        <v>48.46666666666666</v>
      </c>
      <c r="I55" s="103">
        <f t="shared" si="13"/>
        <v>-192.73</v>
      </c>
      <c r="J55" s="103">
        <f t="shared" si="16"/>
        <v>3.6350000000000002</v>
      </c>
      <c r="K55" s="103">
        <v>382.17</v>
      </c>
      <c r="L55" s="103">
        <f>F55-K55</f>
        <v>-374.90000000000003</v>
      </c>
      <c r="M55" s="108">
        <f t="shared" si="17"/>
        <v>0.019022947902765784</v>
      </c>
      <c r="N55" s="104" t="e">
        <f>E55-#REF!</f>
        <v>#REF!</v>
      </c>
      <c r="O55" s="142" t="e">
        <f>F55-#REF!</f>
        <v>#REF!</v>
      </c>
      <c r="P55" s="105" t="e">
        <f t="shared" si="14"/>
        <v>#REF!</v>
      </c>
      <c r="Q55" s="118" t="e">
        <f t="shared" si="11"/>
        <v>#REF!</v>
      </c>
      <c r="R55" s="36"/>
      <c r="S55" s="93"/>
      <c r="T55" s="145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0</v>
      </c>
      <c r="F56" s="154">
        <v>1.67</v>
      </c>
      <c r="G56" s="160">
        <f t="shared" si="12"/>
        <v>1.67</v>
      </c>
      <c r="H56" s="162"/>
      <c r="I56" s="163">
        <f t="shared" si="13"/>
        <v>-0.8300000000000001</v>
      </c>
      <c r="J56" s="163">
        <f t="shared" si="16"/>
        <v>66.8</v>
      </c>
      <c r="K56" s="163">
        <v>0.17</v>
      </c>
      <c r="L56" s="163">
        <f>F56-K56</f>
        <v>1.5</v>
      </c>
      <c r="M56" s="216">
        <f t="shared" si="17"/>
        <v>9.823529411764705</v>
      </c>
      <c r="N56" s="162" t="e">
        <f>E56-#REF!</f>
        <v>#REF!</v>
      </c>
      <c r="O56" s="166" t="e">
        <f>F56-#REF!</f>
        <v>#REF!</v>
      </c>
      <c r="P56" s="165" t="e">
        <f t="shared" si="14"/>
        <v>#REF!</v>
      </c>
      <c r="Q56" s="163"/>
      <c r="R56" s="36"/>
      <c r="S56" s="93"/>
      <c r="T56" s="145">
        <f t="shared" si="8"/>
        <v>2.5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f>600+1000</f>
        <v>1600</v>
      </c>
      <c r="F57" s="154">
        <v>2247.33</v>
      </c>
      <c r="G57" s="160">
        <f t="shared" si="12"/>
        <v>647.3299999999999</v>
      </c>
      <c r="H57" s="162">
        <f t="shared" si="15"/>
        <v>140.458125</v>
      </c>
      <c r="I57" s="163">
        <f t="shared" si="13"/>
        <v>-5102.67</v>
      </c>
      <c r="J57" s="163">
        <f t="shared" si="16"/>
        <v>30.575918367346937</v>
      </c>
      <c r="K57" s="163">
        <v>317.98</v>
      </c>
      <c r="L57" s="163">
        <f aca="true" t="shared" si="18" ref="L57:L63">F57-K57</f>
        <v>1929.35</v>
      </c>
      <c r="M57" s="216">
        <f t="shared" si="17"/>
        <v>7.067519969809421</v>
      </c>
      <c r="N57" s="162" t="e">
        <f>E57-#REF!</f>
        <v>#REF!</v>
      </c>
      <c r="O57" s="166" t="e">
        <f>F57-#REF!</f>
        <v>#REF!</v>
      </c>
      <c r="P57" s="165" t="e">
        <f t="shared" si="14"/>
        <v>#REF!</v>
      </c>
      <c r="Q57" s="163" t="e">
        <f t="shared" si="11"/>
        <v>#REF!</v>
      </c>
      <c r="R57" s="36"/>
      <c r="S57" s="93"/>
      <c r="T57" s="145">
        <f t="shared" si="8"/>
        <v>5750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 t="e">
        <f>E58-#REF!</f>
        <v>#REF!</v>
      </c>
      <c r="O58" s="166" t="e">
        <f>F58-#REF!</f>
        <v>#REF!</v>
      </c>
      <c r="P58" s="165" t="e">
        <f t="shared" si="14"/>
        <v>#REF!</v>
      </c>
      <c r="Q58" s="163" t="e">
        <f t="shared" si="11"/>
        <v>#REF!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153.21</v>
      </c>
      <c r="G59" s="160"/>
      <c r="H59" s="162"/>
      <c r="I59" s="163"/>
      <c r="J59" s="163"/>
      <c r="K59" s="164">
        <v>70.16</v>
      </c>
      <c r="L59" s="163">
        <f t="shared" si="18"/>
        <v>83.05000000000001</v>
      </c>
      <c r="M59" s="216">
        <f t="shared" si="17"/>
        <v>2.1837229190421894</v>
      </c>
      <c r="N59" s="162"/>
      <c r="O59" s="177" t="e">
        <f>F59-#REF!</f>
        <v>#REF!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 t="e">
        <f>E60-#REF!</f>
        <v>#REF!</v>
      </c>
      <c r="O60" s="166" t="e">
        <f>F60-#REF!</f>
        <v>#REF!</v>
      </c>
      <c r="P60" s="165" t="e">
        <f t="shared" si="14"/>
        <v>#REF!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 t="e">
        <f>E61-#REF!</f>
        <v>#REF!</v>
      </c>
      <c r="O61" s="166" t="e">
        <f>F61-#REF!</f>
        <v>#REF!</v>
      </c>
      <c r="P61" s="165" t="e">
        <f t="shared" si="14"/>
        <v>#REF!</v>
      </c>
      <c r="Q61" s="163"/>
      <c r="R61" s="36"/>
      <c r="S61" s="93"/>
      <c r="T61" s="145">
        <f t="shared" si="8"/>
        <v>150</v>
      </c>
    </row>
    <row r="62" spans="1:20" s="6" customFormat="1" ht="18">
      <c r="A62" s="8"/>
      <c r="B62" s="12" t="s">
        <v>44</v>
      </c>
      <c r="C62" s="42">
        <v>31010200</v>
      </c>
      <c r="D62" s="148">
        <v>15</v>
      </c>
      <c r="E62" s="148">
        <v>1.2</v>
      </c>
      <c r="F62" s="154">
        <v>1.49</v>
      </c>
      <c r="G62" s="160">
        <f t="shared" si="12"/>
        <v>0.29000000000000004</v>
      </c>
      <c r="H62" s="162">
        <f t="shared" si="15"/>
        <v>124.16666666666667</v>
      </c>
      <c r="I62" s="163">
        <f t="shared" si="13"/>
        <v>-13.51</v>
      </c>
      <c r="J62" s="163">
        <f t="shared" si="16"/>
        <v>9.933333333333334</v>
      </c>
      <c r="K62" s="163">
        <v>1</v>
      </c>
      <c r="L62" s="163">
        <f t="shared" si="18"/>
        <v>0.49</v>
      </c>
      <c r="M62" s="216">
        <f t="shared" si="17"/>
        <v>1.49</v>
      </c>
      <c r="N62" s="162" t="e">
        <f>E62-#REF!</f>
        <v>#REF!</v>
      </c>
      <c r="O62" s="166" t="e">
        <f>F62-#REF!</f>
        <v>#REF!</v>
      </c>
      <c r="P62" s="165" t="e">
        <f t="shared" si="14"/>
        <v>#REF!</v>
      </c>
      <c r="Q62" s="163" t="e">
        <f t="shared" si="11"/>
        <v>#REF!</v>
      </c>
      <c r="R62" s="36"/>
      <c r="S62" s="93"/>
      <c r="T62" s="145">
        <f t="shared" si="8"/>
        <v>13.8</v>
      </c>
    </row>
    <row r="63" spans="1:20" s="6" customFormat="1" ht="30.75" hidden="1">
      <c r="A63" s="8"/>
      <c r="B63" s="231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2"/>
        <v>0</v>
      </c>
      <c r="H63" s="162"/>
      <c r="I63" s="163">
        <f t="shared" si="13"/>
        <v>0</v>
      </c>
      <c r="J63" s="163"/>
      <c r="K63" s="163">
        <v>0.54</v>
      </c>
      <c r="L63" s="163">
        <f t="shared" si="18"/>
        <v>-0.54</v>
      </c>
      <c r="M63" s="216">
        <f t="shared" si="17"/>
        <v>0</v>
      </c>
      <c r="N63" s="162" t="e">
        <f>E63-#REF!</f>
        <v>#REF!</v>
      </c>
      <c r="O63" s="166" t="e">
        <f>F63-#REF!</f>
        <v>#REF!</v>
      </c>
      <c r="P63" s="165" t="e">
        <f t="shared" si="14"/>
        <v>#REF!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97356.5</v>
      </c>
      <c r="F64" s="149">
        <f>F8+F38+F62+F63</f>
        <v>98086.19</v>
      </c>
      <c r="G64" s="149">
        <f>F64-E64</f>
        <v>729.6900000000023</v>
      </c>
      <c r="H64" s="150">
        <f>F64/E64*100</f>
        <v>100.7495031148408</v>
      </c>
      <c r="I64" s="151">
        <f>F64-D64</f>
        <v>-1259404.9100000001</v>
      </c>
      <c r="J64" s="151">
        <f>F64/D64*100</f>
        <v>7.225549397708758</v>
      </c>
      <c r="K64" s="151">
        <v>62612.59</v>
      </c>
      <c r="L64" s="151">
        <f>F64-K64</f>
        <v>35473.600000000006</v>
      </c>
      <c r="M64" s="217">
        <f>F64/K64</f>
        <v>1.5665569815910827</v>
      </c>
      <c r="N64" s="149" t="e">
        <f>N8+N38+N62+N63</f>
        <v>#REF!</v>
      </c>
      <c r="O64" s="149" t="e">
        <f>O8+O38+O62+O63</f>
        <v>#REF!</v>
      </c>
      <c r="P64" s="153" t="e">
        <f>O64-N64</f>
        <v>#REF!</v>
      </c>
      <c r="Q64" s="151" t="e">
        <f>O64/N64*100</f>
        <v>#REF!</v>
      </c>
      <c r="R64" s="26" t="e">
        <f>O64-34768</f>
        <v>#REF!</v>
      </c>
      <c r="S64" s="114" t="e">
        <f>O64/34768</f>
        <v>#REF!</v>
      </c>
      <c r="T64" s="145">
        <f t="shared" si="8"/>
        <v>1260134.6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0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</row>
    <row r="69" spans="2:20" ht="25.5" customHeight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/>
      <c r="O69" s="180" t="e">
        <f>F69-#REF!</f>
        <v>#REF!</v>
      </c>
      <c r="P69" s="165"/>
      <c r="Q69" s="165"/>
      <c r="R69" s="37"/>
      <c r="S69" s="96"/>
      <c r="T69" s="145">
        <f t="shared" si="8"/>
        <v>0</v>
      </c>
    </row>
    <row r="70" spans="2:20" ht="31.5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2"/>
      <c r="O70" s="180" t="e">
        <f>F70-#REF!</f>
        <v>#REF!</v>
      </c>
      <c r="P70" s="165" t="e">
        <f>O70-N70</f>
        <v>#REF!</v>
      </c>
      <c r="Q70" s="165"/>
      <c r="R70" s="37"/>
      <c r="S70" s="96"/>
      <c r="T70" s="145">
        <f t="shared" si="8"/>
        <v>0</v>
      </c>
    </row>
    <row r="71" spans="2:20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8.48</v>
      </c>
      <c r="L71" s="185">
        <f>F71-K71</f>
        <v>-8.47</v>
      </c>
      <c r="M71" s="212">
        <f>F71/K71</f>
        <v>0.0011792452830188679</v>
      </c>
      <c r="N71" s="183">
        <f>N70</f>
        <v>0</v>
      </c>
      <c r="O71" s="186" t="e">
        <f>SUM(O69:O70)</f>
        <v>#REF!</v>
      </c>
      <c r="P71" s="185" t="e">
        <f>O71-N71</f>
        <v>#REF!</v>
      </c>
      <c r="Q71" s="185"/>
      <c r="R71" s="38"/>
      <c r="S71" s="97"/>
      <c r="T71" s="145">
        <f t="shared" si="8"/>
        <v>0</v>
      </c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0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0.04</v>
      </c>
      <c r="G73" s="160">
        <f aca="true" t="shared" si="19" ref="G73:G84">F73-E73</f>
        <v>0.04</v>
      </c>
      <c r="H73" s="162"/>
      <c r="I73" s="165">
        <f aca="true" t="shared" si="20" ref="I73:I84">F73-D73</f>
        <v>-3999.96</v>
      </c>
      <c r="J73" s="165">
        <f>F73/D73*100</f>
        <v>0.001</v>
      </c>
      <c r="K73" s="165">
        <v>0.06</v>
      </c>
      <c r="L73" s="165">
        <f aca="true" t="shared" si="21" ref="L73:L84">F73-K73</f>
        <v>-0.019999999999999997</v>
      </c>
      <c r="M73" s="207">
        <f>F73/K73</f>
        <v>0.6666666666666667</v>
      </c>
      <c r="N73" s="162" t="e">
        <f>E73-#REF!</f>
        <v>#REF!</v>
      </c>
      <c r="O73" s="166" t="e">
        <f>F73-#REF!</f>
        <v>#REF!</v>
      </c>
      <c r="P73" s="165" t="e">
        <f aca="true" t="shared" si="22" ref="P73:P86">O73-N73</f>
        <v>#REF!</v>
      </c>
      <c r="Q73" s="165" t="e">
        <f>O73/N73*100</f>
        <v>#REF!</v>
      </c>
      <c r="R73" s="37"/>
      <c r="S73" s="96"/>
      <c r="T73" s="145">
        <f t="shared" si="8"/>
        <v>4000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600</v>
      </c>
      <c r="F74" s="179">
        <v>1.9</v>
      </c>
      <c r="G74" s="160">
        <f t="shared" si="19"/>
        <v>-598.1</v>
      </c>
      <c r="H74" s="162">
        <f>F74/E74*100</f>
        <v>0.31666666666666665</v>
      </c>
      <c r="I74" s="165">
        <f t="shared" si="20"/>
        <v>-7998.1</v>
      </c>
      <c r="J74" s="165">
        <f>F74/D74*100</f>
        <v>0.02375</v>
      </c>
      <c r="K74" s="165">
        <v>22.91</v>
      </c>
      <c r="L74" s="165">
        <f t="shared" si="21"/>
        <v>-21.01</v>
      </c>
      <c r="M74" s="207">
        <f>F74/K74</f>
        <v>0.08293321693583587</v>
      </c>
      <c r="N74" s="162" t="e">
        <f>E74-#REF!</f>
        <v>#REF!</v>
      </c>
      <c r="O74" s="166" t="e">
        <f>F74-#REF!</f>
        <v>#REF!</v>
      </c>
      <c r="P74" s="165" t="e">
        <f t="shared" si="22"/>
        <v>#REF!</v>
      </c>
      <c r="Q74" s="165" t="e">
        <f>O74/N74*100</f>
        <v>#REF!</v>
      </c>
      <c r="R74" s="37"/>
      <c r="S74" s="96"/>
      <c r="T74" s="145">
        <f aca="true" t="shared" si="23" ref="T74:T90">D74-E74</f>
        <v>7400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400</v>
      </c>
      <c r="F75" s="179">
        <v>90.12</v>
      </c>
      <c r="G75" s="160">
        <f t="shared" si="19"/>
        <v>-309.88</v>
      </c>
      <c r="H75" s="162">
        <f>F75/E75*100</f>
        <v>22.53</v>
      </c>
      <c r="I75" s="165">
        <f t="shared" si="20"/>
        <v>-9909.88</v>
      </c>
      <c r="J75" s="165">
        <f>F75/D75*100</f>
        <v>0.9012000000000001</v>
      </c>
      <c r="K75" s="165">
        <v>282.85</v>
      </c>
      <c r="L75" s="165">
        <f t="shared" si="21"/>
        <v>-192.73000000000002</v>
      </c>
      <c r="M75" s="207">
        <f>F75/K75</f>
        <v>0.3186141064168287</v>
      </c>
      <c r="N75" s="162" t="e">
        <f>E75-#REF!</f>
        <v>#REF!</v>
      </c>
      <c r="O75" s="166" t="e">
        <f>F75-#REF!</f>
        <v>#REF!</v>
      </c>
      <c r="P75" s="165" t="e">
        <f t="shared" si="22"/>
        <v>#REF!</v>
      </c>
      <c r="Q75" s="165" t="e">
        <f>O75/N75*100</f>
        <v>#REF!</v>
      </c>
      <c r="R75" s="37"/>
      <c r="S75" s="96"/>
      <c r="T75" s="145">
        <f t="shared" si="23"/>
        <v>9600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1</v>
      </c>
      <c r="F76" s="179">
        <v>1</v>
      </c>
      <c r="G76" s="160">
        <f t="shared" si="19"/>
        <v>0</v>
      </c>
      <c r="H76" s="162">
        <f>F76/E76*100</f>
        <v>100</v>
      </c>
      <c r="I76" s="165">
        <f t="shared" si="20"/>
        <v>-11</v>
      </c>
      <c r="J76" s="165">
        <f>F76/D76*100</f>
        <v>8.333333333333332</v>
      </c>
      <c r="K76" s="165">
        <v>1</v>
      </c>
      <c r="L76" s="165">
        <f t="shared" si="21"/>
        <v>0</v>
      </c>
      <c r="M76" s="207"/>
      <c r="N76" s="162" t="e">
        <f>E76-#REF!</f>
        <v>#REF!</v>
      </c>
      <c r="O76" s="166" t="e">
        <f>F76-#REF!</f>
        <v>#REF!</v>
      </c>
      <c r="P76" s="165" t="e">
        <f t="shared" si="22"/>
        <v>#REF!</v>
      </c>
      <c r="Q76" s="165" t="e">
        <f>O76/N76*100</f>
        <v>#REF!</v>
      </c>
      <c r="R76" s="37"/>
      <c r="S76" s="134"/>
      <c r="T76" s="145">
        <f t="shared" si="23"/>
        <v>11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1001</v>
      </c>
      <c r="F77" s="182">
        <f>F73+F74+F75+F76</f>
        <v>93.06</v>
      </c>
      <c r="G77" s="183">
        <f t="shared" si="19"/>
        <v>-907.94</v>
      </c>
      <c r="H77" s="184">
        <f>F77/E77*100</f>
        <v>9.296703296703297</v>
      </c>
      <c r="I77" s="185">
        <f t="shared" si="20"/>
        <v>-21918.94</v>
      </c>
      <c r="J77" s="185">
        <f>F77/D77*100</f>
        <v>0.42276939850990375</v>
      </c>
      <c r="K77" s="185">
        <v>306.82</v>
      </c>
      <c r="L77" s="185">
        <f t="shared" si="21"/>
        <v>-213.76</v>
      </c>
      <c r="M77" s="212">
        <f>F77/K77</f>
        <v>0.3033048693044782</v>
      </c>
      <c r="N77" s="183" t="e">
        <f>N73+N74+N75+N76</f>
        <v>#REF!</v>
      </c>
      <c r="O77" s="187" t="e">
        <f>O73+O74+O75+O76</f>
        <v>#REF!</v>
      </c>
      <c r="P77" s="185" t="e">
        <f t="shared" si="22"/>
        <v>#REF!</v>
      </c>
      <c r="Q77" s="185" t="e">
        <f>O77/N77*100</f>
        <v>#REF!</v>
      </c>
      <c r="R77" s="38"/>
      <c r="S77" s="115"/>
      <c r="T77" s="145">
        <f t="shared" si="23"/>
        <v>21011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 t="shared" si="19"/>
        <v>0.34</v>
      </c>
      <c r="H78" s="162"/>
      <c r="I78" s="165">
        <f t="shared" si="20"/>
        <v>-39.66</v>
      </c>
      <c r="J78" s="165"/>
      <c r="K78" s="165">
        <v>0</v>
      </c>
      <c r="L78" s="165">
        <f t="shared" si="21"/>
        <v>0.34</v>
      </c>
      <c r="M78" s="207" t="e">
        <f>F78/K78</f>
        <v>#DIV/0!</v>
      </c>
      <c r="N78" s="162" t="e">
        <f>E78-#REF!</f>
        <v>#REF!</v>
      </c>
      <c r="O78" s="166" t="e">
        <f>F78-#REF!</f>
        <v>#REF!</v>
      </c>
      <c r="P78" s="165" t="e">
        <f t="shared" si="22"/>
        <v>#REF!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 t="e">
        <f>E79-#REF!</f>
        <v>#REF!</v>
      </c>
      <c r="O79" s="166" t="e">
        <f>F79-#REF!</f>
        <v>#REF!</v>
      </c>
      <c r="P79" s="165" t="e">
        <f t="shared" si="22"/>
        <v>#REF!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7.5</v>
      </c>
      <c r="F80" s="179">
        <v>11.48</v>
      </c>
      <c r="G80" s="160">
        <f t="shared" si="19"/>
        <v>3.9800000000000004</v>
      </c>
      <c r="H80" s="162">
        <f>F80/E80*100</f>
        <v>153.06666666666666</v>
      </c>
      <c r="I80" s="165">
        <f t="shared" si="20"/>
        <v>-8348.52</v>
      </c>
      <c r="J80" s="165">
        <f>F80/D80*100</f>
        <v>0.13732057416267943</v>
      </c>
      <c r="K80" s="165">
        <v>0</v>
      </c>
      <c r="L80" s="165">
        <f t="shared" si="21"/>
        <v>11.48</v>
      </c>
      <c r="M80" s="207"/>
      <c r="N80" s="162" t="e">
        <f>E80-#REF!</f>
        <v>#REF!</v>
      </c>
      <c r="O80" s="166" t="e">
        <f>F80-#REF!</f>
        <v>#REF!</v>
      </c>
      <c r="P80" s="165" t="e">
        <f>O80-N80</f>
        <v>#REF!</v>
      </c>
      <c r="Q80" s="188" t="e">
        <f>O80/N80*100</f>
        <v>#REF!</v>
      </c>
      <c r="R80" s="40"/>
      <c r="S80" s="98"/>
      <c r="T80" s="145">
        <f t="shared" si="23"/>
        <v>8352.5</v>
      </c>
    </row>
    <row r="81" spans="2:20" ht="31.5" hidden="1">
      <c r="B81" s="233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7">
        <f aca="true" t="shared" si="24" ref="M81:M86">F81/K81</f>
        <v>0</v>
      </c>
      <c r="N81" s="162" t="e">
        <f>E81-#REF!</f>
        <v>#REF!</v>
      </c>
      <c r="O81" s="166" t="e">
        <f>F81-#REF!</f>
        <v>#REF!</v>
      </c>
      <c r="P81" s="165" t="e">
        <f t="shared" si="22"/>
        <v>#REF!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7.5</v>
      </c>
      <c r="F82" s="182">
        <f>F78+F81+F79+F80</f>
        <v>11.82</v>
      </c>
      <c r="G82" s="181">
        <f>G78+G81+G79+G80</f>
        <v>4.32</v>
      </c>
      <c r="H82" s="184">
        <f>F82/E82*100</f>
        <v>157.6</v>
      </c>
      <c r="I82" s="185">
        <f t="shared" si="20"/>
        <v>-8388.18</v>
      </c>
      <c r="J82" s="185">
        <f>F82/D82*100</f>
        <v>0.14071428571428574</v>
      </c>
      <c r="K82" s="185">
        <v>0.12</v>
      </c>
      <c r="L82" s="185">
        <f t="shared" si="21"/>
        <v>11.700000000000001</v>
      </c>
      <c r="M82" s="218">
        <f t="shared" si="24"/>
        <v>98.5</v>
      </c>
      <c r="N82" s="183" t="e">
        <f>N78+N81+N79+N80</f>
        <v>#REF!</v>
      </c>
      <c r="O82" s="187" t="e">
        <f>O78+O81+O79+O80</f>
        <v>#REF!</v>
      </c>
      <c r="P82" s="183" t="e">
        <f>P78+P81+P79+P80</f>
        <v>#REF!</v>
      </c>
      <c r="Q82" s="185" t="e">
        <f>O82/N82*100</f>
        <v>#REF!</v>
      </c>
      <c r="R82" s="38"/>
      <c r="S82" s="95"/>
      <c r="T82" s="145">
        <f t="shared" si="23"/>
        <v>8392.5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2.4</v>
      </c>
      <c r="F83" s="179">
        <v>0.34</v>
      </c>
      <c r="G83" s="160">
        <f t="shared" si="19"/>
        <v>-2.06</v>
      </c>
      <c r="H83" s="162">
        <f>F83/E83*100</f>
        <v>14.16666666666667</v>
      </c>
      <c r="I83" s="165">
        <f t="shared" si="20"/>
        <v>-37.66</v>
      </c>
      <c r="J83" s="165">
        <f>F83/D83*100</f>
        <v>0.8947368421052633</v>
      </c>
      <c r="K83" s="165">
        <v>0.35</v>
      </c>
      <c r="L83" s="165">
        <f t="shared" si="21"/>
        <v>-0.009999999999999953</v>
      </c>
      <c r="M83" s="207">
        <f t="shared" si="24"/>
        <v>0.9714285714285715</v>
      </c>
      <c r="N83" s="162" t="e">
        <f>E83-#REF!</f>
        <v>#REF!</v>
      </c>
      <c r="O83" s="166" t="e">
        <f>F83-#REF!</f>
        <v>#REF!</v>
      </c>
      <c r="P83" s="165" t="e">
        <f t="shared" si="22"/>
        <v>#REF!</v>
      </c>
      <c r="Q83" s="165" t="e">
        <f>O83/N83</f>
        <v>#REF!</v>
      </c>
      <c r="R83" s="37"/>
      <c r="S83" s="96"/>
      <c r="T83" s="145">
        <f t="shared" si="23"/>
        <v>35.6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11.81</v>
      </c>
      <c r="G84" s="160">
        <f t="shared" si="19"/>
        <v>11.81</v>
      </c>
      <c r="H84" s="162"/>
      <c r="I84" s="165">
        <f t="shared" si="20"/>
        <v>11.81</v>
      </c>
      <c r="J84" s="165"/>
      <c r="K84" s="165">
        <v>0</v>
      </c>
      <c r="L84" s="165">
        <f t="shared" si="21"/>
        <v>11.81</v>
      </c>
      <c r="M84" s="165" t="e">
        <f t="shared" si="24"/>
        <v>#DIV/0!</v>
      </c>
      <c r="N84" s="162" t="e">
        <f>E84-#REF!</f>
        <v>#REF!</v>
      </c>
      <c r="O84" s="166" t="e">
        <f>F84-#REF!</f>
        <v>#REF!</v>
      </c>
      <c r="P84" s="165" t="e">
        <f t="shared" si="22"/>
        <v>#REF!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30450</v>
      </c>
      <c r="E85" s="189">
        <f>E71+E83+E77+E82</f>
        <v>1010.9</v>
      </c>
      <c r="F85" s="189">
        <f>F71+F83+F77+F82+F84</f>
        <v>117.03999999999999</v>
      </c>
      <c r="G85" s="190">
        <f>F85-E85</f>
        <v>-893.86</v>
      </c>
      <c r="H85" s="191">
        <f>F85/E85*100</f>
        <v>11.577801958650706</v>
      </c>
      <c r="I85" s="192">
        <f>F85-D85</f>
        <v>-30332.96</v>
      </c>
      <c r="J85" s="192">
        <f>F85/D85*100</f>
        <v>0.384367816091954</v>
      </c>
      <c r="K85" s="192">
        <v>315.77</v>
      </c>
      <c r="L85" s="192">
        <f>F85-K85</f>
        <v>-198.73</v>
      </c>
      <c r="M85" s="219">
        <f t="shared" si="24"/>
        <v>0.3706495233872755</v>
      </c>
      <c r="N85" s="189" t="e">
        <f>N71+N83+N77+N82</f>
        <v>#REF!</v>
      </c>
      <c r="O85" s="189" t="e">
        <f>O71+O83+O77+O82+O84</f>
        <v>#REF!</v>
      </c>
      <c r="P85" s="192" t="e">
        <f t="shared" si="22"/>
        <v>#REF!</v>
      </c>
      <c r="Q85" s="192" t="e">
        <f>O85/N85*100</f>
        <v>#REF!</v>
      </c>
      <c r="R85" s="26" t="e">
        <f>O85-8104.96</f>
        <v>#REF!</v>
      </c>
      <c r="S85" s="94" t="e">
        <f>O85/8104.96</f>
        <v>#REF!</v>
      </c>
      <c r="T85" s="145">
        <f t="shared" si="23"/>
        <v>29439.1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98367.4</v>
      </c>
      <c r="F86" s="189">
        <f>F64+F85</f>
        <v>98203.23</v>
      </c>
      <c r="G86" s="190">
        <f>F86-E86</f>
        <v>-164.16999999999825</v>
      </c>
      <c r="H86" s="191">
        <f>F86/E86*100</f>
        <v>99.83310527674819</v>
      </c>
      <c r="I86" s="192">
        <f>F86-D86</f>
        <v>-1289737.87</v>
      </c>
      <c r="J86" s="192">
        <f>F86/D86*100</f>
        <v>7.075460911129442</v>
      </c>
      <c r="K86" s="192">
        <f>K64+K85</f>
        <v>62928.35999999999</v>
      </c>
      <c r="L86" s="192">
        <f>F86-K86</f>
        <v>35274.87</v>
      </c>
      <c r="M86" s="219">
        <f t="shared" si="24"/>
        <v>1.5605560036841895</v>
      </c>
      <c r="N86" s="190" t="e">
        <f>N64+N85</f>
        <v>#REF!</v>
      </c>
      <c r="O86" s="190" t="e">
        <f>O64+O85</f>
        <v>#REF!</v>
      </c>
      <c r="P86" s="192" t="e">
        <f t="shared" si="22"/>
        <v>#REF!</v>
      </c>
      <c r="Q86" s="192" t="e">
        <f>O86/N86*100</f>
        <v>#REF!</v>
      </c>
      <c r="R86" s="26" t="e">
        <f>O86-42872.96</f>
        <v>#REF!</v>
      </c>
      <c r="S86" s="94" t="e">
        <f>O86/42872.96</f>
        <v>#REF!</v>
      </c>
      <c r="T86" s="145">
        <f t="shared" si="23"/>
        <v>1289573.7000000002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 hidden="1">
      <c r="B89" s="51" t="s">
        <v>53</v>
      </c>
      <c r="C89" s="28" t="e">
        <f>IF(P64&lt;0,ABS(P64/C88),0)</f>
        <v>#REF!</v>
      </c>
      <c r="D89" s="4" t="s">
        <v>24</v>
      </c>
      <c r="G89" s="251"/>
      <c r="H89" s="251"/>
      <c r="I89" s="251"/>
      <c r="J89" s="251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42766</v>
      </c>
      <c r="D90" s="28">
        <v>9271.6</v>
      </c>
      <c r="G90" s="4" t="s">
        <v>58</v>
      </c>
      <c r="O90" s="243"/>
      <c r="P90" s="243"/>
      <c r="T90" s="145">
        <f t="shared" si="23"/>
        <v>9271.6</v>
      </c>
    </row>
    <row r="91" spans="3:16" ht="15">
      <c r="C91" s="80">
        <v>42765</v>
      </c>
      <c r="D91" s="28">
        <v>13760.5</v>
      </c>
      <c r="F91" s="112" t="s">
        <v>58</v>
      </c>
      <c r="G91" s="237"/>
      <c r="H91" s="237"/>
      <c r="I91" s="117"/>
      <c r="J91" s="240"/>
      <c r="K91" s="240"/>
      <c r="L91" s="240"/>
      <c r="M91" s="240"/>
      <c r="N91" s="240"/>
      <c r="O91" s="243"/>
      <c r="P91" s="243"/>
    </row>
    <row r="92" spans="3:16" ht="15.75" customHeight="1">
      <c r="C92" s="80">
        <v>42762</v>
      </c>
      <c r="D92" s="28">
        <v>8862.4</v>
      </c>
      <c r="F92" s="67"/>
      <c r="G92" s="237"/>
      <c r="H92" s="237"/>
      <c r="I92" s="117"/>
      <c r="J92" s="244"/>
      <c r="K92" s="244"/>
      <c r="L92" s="244"/>
      <c r="M92" s="244"/>
      <c r="N92" s="244"/>
      <c r="O92" s="243"/>
      <c r="P92" s="243"/>
    </row>
    <row r="93" spans="3:14" ht="15.75" customHeight="1">
      <c r="C93" s="80"/>
      <c r="F93" s="67"/>
      <c r="G93" s="239"/>
      <c r="H93" s="239"/>
      <c r="I93" s="123"/>
      <c r="J93" s="240"/>
      <c r="K93" s="240"/>
      <c r="L93" s="240"/>
      <c r="M93" s="240"/>
      <c r="N93" s="240"/>
    </row>
    <row r="94" spans="2:14" ht="18.75" customHeight="1">
      <c r="B94" s="241" t="s">
        <v>56</v>
      </c>
      <c r="C94" s="242"/>
      <c r="D94" s="132">
        <f>9505303.41/1000</f>
        <v>9505.30341</v>
      </c>
      <c r="E94" s="68"/>
      <c r="F94" s="124" t="s">
        <v>105</v>
      </c>
      <c r="G94" s="237"/>
      <c r="H94" s="237"/>
      <c r="I94" s="125"/>
      <c r="J94" s="240"/>
      <c r="K94" s="240"/>
      <c r="L94" s="240"/>
      <c r="M94" s="240"/>
      <c r="N94" s="240"/>
    </row>
    <row r="95" spans="6:13" ht="9.75" customHeight="1">
      <c r="F95" s="67"/>
      <c r="G95" s="237"/>
      <c r="H95" s="237"/>
      <c r="I95" s="67"/>
      <c r="J95" s="68"/>
      <c r="K95" s="68"/>
      <c r="L95" s="68"/>
      <c r="M95" s="68"/>
    </row>
    <row r="96" spans="2:13" ht="22.5" customHeight="1" hidden="1">
      <c r="B96" s="235" t="s">
        <v>59</v>
      </c>
      <c r="C96" s="236"/>
      <c r="D96" s="79">
        <v>0</v>
      </c>
      <c r="E96" s="50" t="s">
        <v>24</v>
      </c>
      <c r="F96" s="67"/>
      <c r="G96" s="237"/>
      <c r="H96" s="237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86</v>
      </c>
      <c r="F97" s="201">
        <f>F45+F48+F49</f>
        <v>133.98000000000002</v>
      </c>
      <c r="G97" s="67">
        <f>G45+G48+G49</f>
        <v>47.980000000000004</v>
      </c>
      <c r="H97" s="68"/>
      <c r="I97" s="68"/>
      <c r="N97" s="28" t="e">
        <f>N45+N48+N49</f>
        <v>#REF!</v>
      </c>
      <c r="O97" s="200" t="e">
        <f>O45+O48+O49</f>
        <v>#REF!</v>
      </c>
      <c r="P97" s="28" t="e">
        <f>P45+P48+P49</f>
        <v>#REF!</v>
      </c>
    </row>
    <row r="98" spans="4:16" ht="15" hidden="1">
      <c r="D98" s="77"/>
      <c r="I98" s="28"/>
      <c r="O98" s="238"/>
      <c r="P98" s="238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94368.7</v>
      </c>
      <c r="F99" s="227">
        <f>F9+F15+F17+F18+F19+F20+F39+F42+F56+F62+F63</f>
        <v>93868.31</v>
      </c>
      <c r="G99" s="28">
        <f>F99-E99</f>
        <v>-500.3899999999994</v>
      </c>
      <c r="H99" s="228">
        <f>F99/E99</f>
        <v>0.9946975003364463</v>
      </c>
      <c r="I99" s="28">
        <f>F99-D99</f>
        <v>-1205180.29</v>
      </c>
      <c r="J99" s="228">
        <f>F99/D99</f>
        <v>0.07225927498016625</v>
      </c>
      <c r="N99" s="28" t="e">
        <f>N9+N15+N17+N18+N19+N20+N39+N42+N44+N56+N62+N63</f>
        <v>#REF!</v>
      </c>
      <c r="O99" s="227" t="e">
        <f>O9+O15+O17+O18+O19+O20+O39+O42+O44+O56+O62+O63</f>
        <v>#REF!</v>
      </c>
      <c r="P99" s="28" t="e">
        <f>O99-N99</f>
        <v>#REF!</v>
      </c>
      <c r="Q99" s="228" t="e">
        <f>O99/N99</f>
        <v>#REF!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2987.8</v>
      </c>
      <c r="F100" s="227">
        <f>F40+F41+F43+F45+F47+F48+F49+F50+F51+F57+F61+F44</f>
        <v>4217.88</v>
      </c>
      <c r="G100" s="28">
        <f>G40+G41+G43+G45+G47+G48+G49+G50+G51+G57+G61+G44</f>
        <v>1230.08</v>
      </c>
      <c r="H100" s="228">
        <f>F100/E100</f>
        <v>1.4117009170627217</v>
      </c>
      <c r="I100" s="28">
        <f>I40+I41+I43+I45+I47+I48+I49+I50+I51+I57+I61+I44</f>
        <v>-54224.62000000001</v>
      </c>
      <c r="J100" s="228">
        <f>F100/D100</f>
        <v>0.07217145057107413</v>
      </c>
      <c r="K100" s="28">
        <f aca="true" t="shared" si="25" ref="K100:P100">K40+K41+K43+K45+K47+K48+K49+K50+K51+K57+K61+K44</f>
        <v>2026.0900000000001</v>
      </c>
      <c r="L100" s="28">
        <f t="shared" si="25"/>
        <v>2191.7899999999995</v>
      </c>
      <c r="M100" s="28">
        <f t="shared" si="25"/>
        <v>10.18479694691847</v>
      </c>
      <c r="N100" s="28" t="e">
        <f t="shared" si="25"/>
        <v>#REF!</v>
      </c>
      <c r="O100" s="227" t="e">
        <f t="shared" si="25"/>
        <v>#REF!</v>
      </c>
      <c r="P100" s="28" t="e">
        <f t="shared" si="25"/>
        <v>#REF!</v>
      </c>
      <c r="Q100" s="228" t="e">
        <f>O100/N100</f>
        <v>#REF!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97356.5</v>
      </c>
      <c r="F101" s="227">
        <f t="shared" si="26"/>
        <v>98086.19</v>
      </c>
      <c r="G101" s="28">
        <f t="shared" si="26"/>
        <v>729.6900000000005</v>
      </c>
      <c r="H101" s="228">
        <f>F101/E101</f>
        <v>1.007495031148408</v>
      </c>
      <c r="I101" s="28">
        <f t="shared" si="26"/>
        <v>-1259404.9100000001</v>
      </c>
      <c r="J101" s="228">
        <f>F101/D101</f>
        <v>0.07225549397708758</v>
      </c>
      <c r="K101" s="28">
        <f t="shared" si="26"/>
        <v>2026.0900000000001</v>
      </c>
      <c r="L101" s="28">
        <f t="shared" si="26"/>
        <v>2191.7899999999995</v>
      </c>
      <c r="M101" s="28">
        <f t="shared" si="26"/>
        <v>10.18479694691847</v>
      </c>
      <c r="N101" s="28" t="e">
        <f t="shared" si="26"/>
        <v>#REF!</v>
      </c>
      <c r="O101" s="227" t="e">
        <f t="shared" si="26"/>
        <v>#REF!</v>
      </c>
      <c r="P101" s="28" t="e">
        <f t="shared" si="26"/>
        <v>#REF!</v>
      </c>
      <c r="Q101" s="228" t="e">
        <f>O101/N101</f>
        <v>#REF!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1.8189894035458565E-12</v>
      </c>
      <c r="H102" s="228"/>
      <c r="I102" s="28">
        <f t="shared" si="27"/>
        <v>0</v>
      </c>
      <c r="J102" s="228"/>
      <c r="K102" s="28">
        <f t="shared" si="27"/>
        <v>60586.5</v>
      </c>
      <c r="L102" s="28">
        <f t="shared" si="27"/>
        <v>33281.810000000005</v>
      </c>
      <c r="M102" s="28">
        <f t="shared" si="27"/>
        <v>-8.618239965327387</v>
      </c>
      <c r="N102" s="28" t="e">
        <f t="shared" si="27"/>
        <v>#REF!</v>
      </c>
      <c r="O102" s="28" t="e">
        <f t="shared" si="27"/>
        <v>#REF!</v>
      </c>
      <c r="P102" s="28" t="e">
        <f t="shared" si="27"/>
        <v>#REF!</v>
      </c>
      <c r="Q102" s="28"/>
      <c r="R102" s="28" t="e">
        <f t="shared" si="27"/>
        <v>#REF!</v>
      </c>
      <c r="S102" s="28" t="e">
        <f t="shared" si="27"/>
        <v>#REF!</v>
      </c>
      <c r="T102" s="28">
        <f t="shared" si="27"/>
        <v>1260134.6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2017-02-03T08:38:29Z</cp:lastPrinted>
  <dcterms:created xsi:type="dcterms:W3CDTF">2003-07-28T11:27:56Z</dcterms:created>
  <dcterms:modified xsi:type="dcterms:W3CDTF">2017-02-03T09:01:57Z</dcterms:modified>
  <cp:category/>
  <cp:version/>
  <cp:contentType/>
  <cp:contentStatus/>
</cp:coreProperties>
</file>